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еню" sheetId="1" r:id="rId1"/>
    <sheet name="Накопительная" sheetId="8" r:id="rId2"/>
  </sheets>
  <calcPr calcId="124519"/>
</workbook>
</file>

<file path=xl/calcChain.xml><?xml version="1.0" encoding="utf-8"?>
<calcChain xmlns="http://schemas.openxmlformats.org/spreadsheetml/2006/main">
  <c r="D63" i="1"/>
  <c r="E63"/>
  <c r="F63"/>
  <c r="G63"/>
  <c r="H63"/>
  <c r="I63"/>
  <c r="J63"/>
  <c r="K63"/>
  <c r="L63"/>
  <c r="M63"/>
  <c r="N63"/>
  <c r="O63"/>
  <c r="P63"/>
  <c r="Q63"/>
  <c r="C63"/>
  <c r="P15"/>
  <c r="O15"/>
  <c r="N15"/>
  <c r="M15"/>
  <c r="L15"/>
  <c r="K15"/>
  <c r="I15"/>
  <c r="H15"/>
  <c r="G15"/>
  <c r="F15"/>
  <c r="E15"/>
  <c r="D15"/>
  <c r="E103"/>
  <c r="G103"/>
  <c r="H103"/>
  <c r="I103"/>
  <c r="J103"/>
  <c r="K103"/>
  <c r="L103"/>
  <c r="M103"/>
  <c r="N103"/>
  <c r="O103"/>
  <c r="P103"/>
  <c r="Q103"/>
  <c r="C103"/>
  <c r="M118" l="1"/>
  <c r="C118"/>
  <c r="M19" i="8"/>
  <c r="M7"/>
  <c r="M16"/>
  <c r="M12"/>
  <c r="M3"/>
  <c r="M21"/>
  <c r="M10"/>
  <c r="M5"/>
  <c r="L12"/>
  <c r="L17"/>
  <c r="L9"/>
  <c r="L7"/>
  <c r="L16"/>
  <c r="L3"/>
  <c r="L21"/>
  <c r="L18"/>
  <c r="K19"/>
  <c r="K9"/>
  <c r="K7"/>
  <c r="K3"/>
  <c r="K21"/>
  <c r="K17"/>
  <c r="K5"/>
  <c r="J19"/>
  <c r="J12"/>
  <c r="J14"/>
  <c r="J21"/>
  <c r="J16"/>
  <c r="J5"/>
  <c r="I21"/>
  <c r="I17"/>
  <c r="I9"/>
  <c r="I7"/>
  <c r="I19"/>
  <c r="I3"/>
  <c r="I12"/>
  <c r="I11"/>
  <c r="I16"/>
  <c r="I5"/>
  <c r="H16"/>
  <c r="H3"/>
  <c r="H19"/>
  <c r="H15"/>
  <c r="H5"/>
  <c r="H18"/>
  <c r="G21"/>
  <c r="G16"/>
  <c r="G17"/>
  <c r="G15"/>
  <c r="G14"/>
  <c r="G4"/>
  <c r="G11"/>
  <c r="G7"/>
  <c r="G12"/>
  <c r="G6"/>
  <c r="F19"/>
  <c r="F12"/>
  <c r="F21"/>
  <c r="F16"/>
  <c r="F9"/>
  <c r="F5"/>
  <c r="F14"/>
  <c r="E15"/>
  <c r="E16"/>
  <c r="E4"/>
  <c r="E21"/>
  <c r="E12"/>
  <c r="E3"/>
  <c r="E10"/>
  <c r="E5"/>
  <c r="D21"/>
  <c r="D17"/>
  <c r="D9"/>
  <c r="D7"/>
  <c r="D19"/>
  <c r="D12"/>
  <c r="D16"/>
  <c r="D3"/>
  <c r="D18"/>
  <c r="O118" i="1"/>
  <c r="J78"/>
  <c r="J36"/>
  <c r="J15"/>
  <c r="H21"/>
  <c r="K10"/>
  <c r="F10"/>
  <c r="Q118"/>
  <c r="L118"/>
  <c r="K118"/>
  <c r="J118"/>
  <c r="I118"/>
  <c r="H118"/>
  <c r="G118"/>
  <c r="F118"/>
  <c r="E118"/>
  <c r="D118"/>
  <c r="F100"/>
  <c r="F103" s="1"/>
  <c r="D100"/>
  <c r="D103" s="1"/>
  <c r="Q84"/>
  <c r="P84"/>
  <c r="P89" s="1"/>
  <c r="O84"/>
  <c r="O89" s="1"/>
  <c r="N84"/>
  <c r="N89" s="1"/>
  <c r="M84"/>
  <c r="M89" s="1"/>
  <c r="L84"/>
  <c r="K84"/>
  <c r="J84"/>
  <c r="I84"/>
  <c r="I89" s="1"/>
  <c r="H84"/>
  <c r="G89"/>
  <c r="E89"/>
  <c r="Q89"/>
  <c r="C10"/>
  <c r="C21"/>
  <c r="C31"/>
  <c r="C42"/>
  <c r="C52"/>
  <c r="C78"/>
  <c r="C89"/>
  <c r="K89"/>
  <c r="L89"/>
  <c r="K78"/>
  <c r="L78"/>
  <c r="K52"/>
  <c r="L52"/>
  <c r="K42"/>
  <c r="L42"/>
  <c r="K31"/>
  <c r="L31"/>
  <c r="L21"/>
  <c r="K21"/>
  <c r="L10"/>
  <c r="N8" i="8"/>
  <c r="E10" i="1"/>
  <c r="G10"/>
  <c r="H10"/>
  <c r="I10"/>
  <c r="J10"/>
  <c r="M10"/>
  <c r="N10"/>
  <c r="O10"/>
  <c r="P10"/>
  <c r="Q10"/>
  <c r="D10"/>
  <c r="E21"/>
  <c r="F21"/>
  <c r="G21"/>
  <c r="I21"/>
  <c r="J21"/>
  <c r="M21"/>
  <c r="N21"/>
  <c r="O21"/>
  <c r="P21"/>
  <c r="Q21"/>
  <c r="D21"/>
  <c r="E31"/>
  <c r="F31"/>
  <c r="G31"/>
  <c r="H31"/>
  <c r="I31"/>
  <c r="J31"/>
  <c r="M31"/>
  <c r="N31"/>
  <c r="O31"/>
  <c r="P31"/>
  <c r="Q31"/>
  <c r="D31"/>
  <c r="E42"/>
  <c r="F42"/>
  <c r="G42"/>
  <c r="H42"/>
  <c r="I42"/>
  <c r="J42"/>
  <c r="M42"/>
  <c r="N42"/>
  <c r="O42"/>
  <c r="P42"/>
  <c r="Q42"/>
  <c r="D42"/>
  <c r="E52"/>
  <c r="F52"/>
  <c r="G52"/>
  <c r="H52"/>
  <c r="I52"/>
  <c r="J52"/>
  <c r="M52"/>
  <c r="N52"/>
  <c r="O52"/>
  <c r="P52"/>
  <c r="Q52"/>
  <c r="D52"/>
  <c r="E78"/>
  <c r="F78"/>
  <c r="G78"/>
  <c r="H78"/>
  <c r="I78"/>
  <c r="M78"/>
  <c r="N78"/>
  <c r="O78"/>
  <c r="P78"/>
  <c r="Q78"/>
  <c r="D78"/>
  <c r="F89"/>
  <c r="H89"/>
  <c r="J89"/>
  <c r="D89"/>
  <c r="N118" l="1"/>
  <c r="N119" s="1"/>
  <c r="P118"/>
  <c r="D119"/>
  <c r="J119"/>
  <c r="H119"/>
  <c r="F119"/>
  <c r="L119"/>
  <c r="Q119"/>
  <c r="O119"/>
  <c r="M119"/>
  <c r="I119"/>
  <c r="G119"/>
  <c r="E119"/>
  <c r="K119"/>
  <c r="C119"/>
  <c r="N4" i="8"/>
  <c r="N5"/>
  <c r="N6"/>
  <c r="N7"/>
  <c r="N9"/>
  <c r="N10"/>
  <c r="N11"/>
  <c r="N12"/>
  <c r="N13"/>
  <c r="N14"/>
  <c r="N15"/>
  <c r="N16"/>
  <c r="N17"/>
  <c r="N18"/>
  <c r="N19"/>
  <c r="N20"/>
  <c r="N21"/>
  <c r="N3"/>
  <c r="P119" i="1" l="1"/>
</calcChain>
</file>

<file path=xl/sharedStrings.xml><?xml version="1.0" encoding="utf-8"?>
<sst xmlns="http://schemas.openxmlformats.org/spreadsheetml/2006/main" count="380" uniqueCount="136">
  <si>
    <t>№ рецептуры</t>
  </si>
  <si>
    <t>Прием пищи. Наименование блюда</t>
  </si>
  <si>
    <t>Масса порции</t>
  </si>
  <si>
    <t>Пищевые ценности</t>
  </si>
  <si>
    <t>белки</t>
  </si>
  <si>
    <t>жиры</t>
  </si>
  <si>
    <t>углеводы</t>
  </si>
  <si>
    <t>Минеральные вещества (мг)</t>
  </si>
  <si>
    <t>Ca</t>
  </si>
  <si>
    <t>Mg</t>
  </si>
  <si>
    <t>P</t>
  </si>
  <si>
    <t>Fe</t>
  </si>
  <si>
    <t>B1</t>
  </si>
  <si>
    <t>B2</t>
  </si>
  <si>
    <t>PP</t>
  </si>
  <si>
    <t>C</t>
  </si>
  <si>
    <t>Энергетическая ценность (ккал)</t>
  </si>
  <si>
    <t>Завтрак</t>
  </si>
  <si>
    <t>Итого</t>
  </si>
  <si>
    <t>Витамины (мг)</t>
  </si>
  <si>
    <t>Хлеб пшеничный</t>
  </si>
  <si>
    <t>Какао с молоком</t>
  </si>
  <si>
    <t>Каша гречневая рассыпчатая</t>
  </si>
  <si>
    <t>Запеканка из творога</t>
  </si>
  <si>
    <t>Пр/пр</t>
  </si>
  <si>
    <t>№ п/п</t>
  </si>
  <si>
    <t>Наименование группы продуктов</t>
  </si>
  <si>
    <t>Норма продукта в граммах</t>
  </si>
  <si>
    <t>Фактически выдано продуктов в нетто по дням в качестве горячих завтраков (всего), г на одного человека</t>
  </si>
  <si>
    <t>В среднем за 10 дней</t>
  </si>
  <si>
    <t>Отклонение от нормы % (+/-)</t>
  </si>
  <si>
    <t>Мука пшеничная</t>
  </si>
  <si>
    <t>Картофель</t>
  </si>
  <si>
    <t>Фрукты (плоды) сухие</t>
  </si>
  <si>
    <t>Рыба филе</t>
  </si>
  <si>
    <t>Творог</t>
  </si>
  <si>
    <t>Сметана</t>
  </si>
  <si>
    <t>Масло сливочное</t>
  </si>
  <si>
    <t>Масло растительное</t>
  </si>
  <si>
    <t>Сахар</t>
  </si>
  <si>
    <t>Соль</t>
  </si>
  <si>
    <t>Крупы бобовые, макаронные изделия</t>
  </si>
  <si>
    <t>Овощи</t>
  </si>
  <si>
    <t>Мясо и мясные продукты</t>
  </si>
  <si>
    <t>Молоко пастеризов. (массовая доля жира 3,2%) и кисломолочные продукты</t>
  </si>
  <si>
    <t>Сыр</t>
  </si>
  <si>
    <t>Яйца</t>
  </si>
  <si>
    <t>Чай, какао, кофейный напиток</t>
  </si>
  <si>
    <t xml:space="preserve">День первый - понедельник </t>
  </si>
  <si>
    <t>День второй - вторник</t>
  </si>
  <si>
    <t>Хлеб в ассортименте</t>
  </si>
  <si>
    <t>Масло сливочное (порциями)</t>
  </si>
  <si>
    <t>Чай чёрный байховый с сахаром</t>
  </si>
  <si>
    <t>День третий - среда</t>
  </si>
  <si>
    <t>Сыр твёрдых сортов в нарезке</t>
  </si>
  <si>
    <t>День четвёртый - четверг</t>
  </si>
  <si>
    <t>Картофельное пюре</t>
  </si>
  <si>
    <t>Соус белый основной</t>
  </si>
  <si>
    <t>День пятый - пятница</t>
  </si>
  <si>
    <t>День шестой - понедельник</t>
  </si>
  <si>
    <t>Рис отварной</t>
  </si>
  <si>
    <t>День седьмой - вторник</t>
  </si>
  <si>
    <t>Каша вязкая молочная пшённая</t>
  </si>
  <si>
    <t>Кофейный напиток с молоком</t>
  </si>
  <si>
    <t>День восьмой - среда</t>
  </si>
  <si>
    <t>Повидло</t>
  </si>
  <si>
    <t>День девятый - четверг</t>
  </si>
  <si>
    <t>День десятый - пятница</t>
  </si>
  <si>
    <t>Макароны отварные</t>
  </si>
  <si>
    <t>Плов с курицей</t>
  </si>
  <si>
    <t>54-12м-2020</t>
  </si>
  <si>
    <t>54-1з-2020</t>
  </si>
  <si>
    <t>53-19з-2020</t>
  </si>
  <si>
    <t>54-6к-2020</t>
  </si>
  <si>
    <t>54-1г-2020</t>
  </si>
  <si>
    <t>54-4г-2020</t>
  </si>
  <si>
    <t>54-6г-2020</t>
  </si>
  <si>
    <t>54-11г-2020</t>
  </si>
  <si>
    <t>54-1т-2020</t>
  </si>
  <si>
    <t>54-2соус-2020</t>
  </si>
  <si>
    <t>54-1гн-2020</t>
  </si>
  <si>
    <t>Чай чёрный байховый без сахара</t>
  </si>
  <si>
    <t>54-2гн-2020</t>
  </si>
  <si>
    <t>54-3гн-2020</t>
  </si>
  <si>
    <t>Чай чёрный байховый с лимоном и сахаром</t>
  </si>
  <si>
    <t>54-6гн-2020</t>
  </si>
  <si>
    <t>Чай чёрный байховый с молоком и сахаром</t>
  </si>
  <si>
    <t>54-7гн-2020</t>
  </si>
  <si>
    <t>54-9гн-2020</t>
  </si>
  <si>
    <t>Фрукты (плоды) свежие</t>
  </si>
  <si>
    <t>+175</t>
  </si>
  <si>
    <t>-67,47</t>
  </si>
  <si>
    <t>+46</t>
  </si>
  <si>
    <t>I</t>
  </si>
  <si>
    <t>Se</t>
  </si>
  <si>
    <t>Средние показатели за период</t>
  </si>
  <si>
    <t>Рыба, запеченная в сметанном соусе (минтай)</t>
  </si>
  <si>
    <t>Рыба, припущенная в молоке (минтай)</t>
  </si>
  <si>
    <t>-56,19</t>
  </si>
  <si>
    <t>-84,71</t>
  </si>
  <si>
    <t>-51,64</t>
  </si>
  <si>
    <t>-86,64</t>
  </si>
  <si>
    <t>-47,87</t>
  </si>
  <si>
    <t>-59,83</t>
  </si>
  <si>
    <t>+555</t>
  </si>
  <si>
    <t>-76,65</t>
  </si>
  <si>
    <t>+7,88</t>
  </si>
  <si>
    <t>+132,5</t>
  </si>
  <si>
    <t>+34,33</t>
  </si>
  <si>
    <t>-15,03</t>
  </si>
  <si>
    <t>-64,53</t>
  </si>
  <si>
    <t>+116,08</t>
  </si>
  <si>
    <t>-66,19</t>
  </si>
  <si>
    <t>54-26к-2020</t>
  </si>
  <si>
    <t>Каша жидкая молочная рисовая</t>
  </si>
  <si>
    <t>Фрукт</t>
  </si>
  <si>
    <t>54-9з-2020</t>
  </si>
  <si>
    <t>Салат из белокочанной капусты с морковью и яблоками</t>
  </si>
  <si>
    <t>54-16з-2020</t>
  </si>
  <si>
    <t>Винегрет с растительным маслом</t>
  </si>
  <si>
    <t>Салат из свеклы отварной</t>
  </si>
  <si>
    <t>54-13з-2020</t>
  </si>
  <si>
    <t>54-11з-2020</t>
  </si>
  <si>
    <t>54-9г-2020</t>
  </si>
  <si>
    <t>Рагу из овощей</t>
  </si>
  <si>
    <t>Салат из белокочанной капусты с морковью</t>
  </si>
  <si>
    <t>Салат из моркови и яблок</t>
  </si>
  <si>
    <t>54-5соус-2022</t>
  </si>
  <si>
    <t>Соус молочный натуральный</t>
  </si>
  <si>
    <t>54-16м-2022</t>
  </si>
  <si>
    <t>Тефтели из говядины с рисом</t>
  </si>
  <si>
    <t>54-08з-2022</t>
  </si>
  <si>
    <t>54-7р-2022</t>
  </si>
  <si>
    <t>54-9р-2022</t>
  </si>
  <si>
    <t>54-22м-2022</t>
  </si>
  <si>
    <t>Рагу из курицы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</si>
</sst>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1" fillId="0" borderId="0" xfId="0" applyFont="1"/>
    <xf numFmtId="0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/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/>
    </xf>
    <xf numFmtId="0" fontId="6" fillId="0" borderId="1" xfId="0" applyFont="1" applyFill="1" applyBorder="1" applyAlignment="1"/>
    <xf numFmtId="0" fontId="7" fillId="0" borderId="1" xfId="0" applyFont="1" applyBorder="1" applyAlignment="1"/>
    <xf numFmtId="2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5" fillId="0" borderId="0" xfId="0" applyFont="1" applyAlignment="1">
      <alignment vertical="top"/>
    </xf>
    <xf numFmtId="0" fontId="3" fillId="0" borderId="3" xfId="0" applyFont="1" applyBorder="1" applyAlignment="1">
      <alignment vertical="top" wrapText="1"/>
    </xf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9"/>
  <sheetViews>
    <sheetView tabSelected="1" topLeftCell="A109" workbookViewId="0">
      <selection activeCell="A105" sqref="A105:XFD105"/>
    </sheetView>
  </sheetViews>
  <sheetFormatPr defaultRowHeight="15"/>
  <cols>
    <col min="1" max="1" width="10.42578125" customWidth="1"/>
    <col min="2" max="2" width="20" customWidth="1"/>
    <col min="3" max="3" width="8" customWidth="1"/>
    <col min="4" max="4" width="9.140625" customWidth="1"/>
    <col min="5" max="5" width="8.140625" customWidth="1"/>
    <col min="6" max="6" width="9.28515625" customWidth="1"/>
    <col min="7" max="7" width="9.140625" customWidth="1"/>
    <col min="8" max="8" width="8" customWidth="1"/>
    <col min="9" max="9" width="9" customWidth="1"/>
    <col min="10" max="12" width="9.85546875" customWidth="1"/>
    <col min="13" max="13" width="8.7109375" customWidth="1"/>
    <col min="14" max="14" width="7.85546875" customWidth="1"/>
    <col min="15" max="15" width="9.140625" customWidth="1"/>
    <col min="16" max="16" width="6.85546875" customWidth="1"/>
    <col min="17" max="17" width="8.28515625" customWidth="1"/>
  </cols>
  <sheetData>
    <row r="1" spans="1:17" s="14" customFormat="1" ht="18.7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5" customHeight="1">
      <c r="A2" s="37" t="s">
        <v>0</v>
      </c>
      <c r="B2" s="37" t="s">
        <v>1</v>
      </c>
      <c r="C2" s="37" t="s">
        <v>2</v>
      </c>
      <c r="D2" s="40" t="s">
        <v>3</v>
      </c>
      <c r="E2" s="41"/>
      <c r="F2" s="42"/>
      <c r="G2" s="37" t="s">
        <v>16</v>
      </c>
      <c r="H2" s="40" t="s">
        <v>7</v>
      </c>
      <c r="I2" s="41"/>
      <c r="J2" s="41"/>
      <c r="K2" s="41"/>
      <c r="L2" s="41"/>
      <c r="M2" s="42"/>
      <c r="N2" s="40" t="s">
        <v>19</v>
      </c>
      <c r="O2" s="41"/>
      <c r="P2" s="41"/>
      <c r="Q2" s="42"/>
    </row>
    <row r="3" spans="1:17" ht="46.5" customHeight="1">
      <c r="A3" s="38"/>
      <c r="B3" s="39"/>
      <c r="C3" s="39"/>
      <c r="D3" s="7" t="s">
        <v>4</v>
      </c>
      <c r="E3" s="8" t="s">
        <v>5</v>
      </c>
      <c r="F3" s="8" t="s">
        <v>6</v>
      </c>
      <c r="G3" s="39"/>
      <c r="H3" s="6" t="s">
        <v>8</v>
      </c>
      <c r="I3" s="6" t="s">
        <v>9</v>
      </c>
      <c r="J3" s="6" t="s">
        <v>10</v>
      </c>
      <c r="K3" s="30" t="s">
        <v>93</v>
      </c>
      <c r="L3" s="30" t="s">
        <v>94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</row>
    <row r="4" spans="1:17" ht="18" customHeight="1">
      <c r="A4" s="1"/>
      <c r="B4" s="33" t="s">
        <v>17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17" s="16" customFormat="1" ht="48" customHeight="1">
      <c r="A5" s="17" t="s">
        <v>113</v>
      </c>
      <c r="B5" s="6" t="s">
        <v>114</v>
      </c>
      <c r="C5" s="15">
        <v>250</v>
      </c>
      <c r="D5" s="15">
        <v>5.74</v>
      </c>
      <c r="E5" s="15">
        <v>7.2</v>
      </c>
      <c r="F5" s="15">
        <v>30.3</v>
      </c>
      <c r="G5" s="15">
        <v>209</v>
      </c>
      <c r="H5" s="15">
        <v>176</v>
      </c>
      <c r="I5" s="15">
        <v>30</v>
      </c>
      <c r="J5" s="15">
        <v>148</v>
      </c>
      <c r="K5" s="15">
        <v>52.42</v>
      </c>
      <c r="L5" s="15">
        <v>6.6</v>
      </c>
      <c r="M5" s="15">
        <v>0.4</v>
      </c>
      <c r="N5" s="15">
        <v>0.06</v>
      </c>
      <c r="O5" s="15">
        <v>0.18</v>
      </c>
      <c r="P5" s="15">
        <v>0</v>
      </c>
      <c r="Q5" s="15">
        <v>1</v>
      </c>
    </row>
    <row r="6" spans="1:17" s="16" customFormat="1" ht="15.75" customHeight="1">
      <c r="A6" s="17" t="s">
        <v>24</v>
      </c>
      <c r="B6" s="6" t="s">
        <v>50</v>
      </c>
      <c r="C6" s="15">
        <v>30</v>
      </c>
      <c r="D6" s="15">
        <v>2.2799999999999998</v>
      </c>
      <c r="E6" s="15">
        <v>0.24</v>
      </c>
      <c r="F6" s="15">
        <v>14.76</v>
      </c>
      <c r="G6" s="15">
        <v>70.3</v>
      </c>
      <c r="H6" s="15">
        <v>5.7</v>
      </c>
      <c r="I6" s="15">
        <v>3.9</v>
      </c>
      <c r="J6" s="15">
        <v>19.5</v>
      </c>
      <c r="K6" s="15">
        <v>0</v>
      </c>
      <c r="L6" s="15">
        <v>0</v>
      </c>
      <c r="M6" s="15">
        <v>0.36</v>
      </c>
      <c r="N6" s="15">
        <v>3.3000000000000002E-2</v>
      </c>
      <c r="O6" s="15">
        <v>8.9999999999999993E-3</v>
      </c>
      <c r="P6" s="15">
        <v>0.27</v>
      </c>
      <c r="Q6" s="15">
        <v>0</v>
      </c>
    </row>
    <row r="7" spans="1:17" s="16" customFormat="1" ht="30" customHeight="1">
      <c r="A7" s="17" t="s">
        <v>72</v>
      </c>
      <c r="B7" s="5" t="s">
        <v>51</v>
      </c>
      <c r="C7" s="15">
        <v>20</v>
      </c>
      <c r="D7" s="15">
        <v>0.1</v>
      </c>
      <c r="E7" s="15">
        <v>15</v>
      </c>
      <c r="F7" s="15">
        <v>0.1</v>
      </c>
      <c r="G7" s="15">
        <v>132</v>
      </c>
      <c r="H7" s="15">
        <v>5</v>
      </c>
      <c r="I7" s="15">
        <v>0</v>
      </c>
      <c r="J7" s="15">
        <v>6</v>
      </c>
      <c r="K7" s="15">
        <v>0</v>
      </c>
      <c r="L7" s="15">
        <v>0.2</v>
      </c>
      <c r="M7" s="15">
        <v>0</v>
      </c>
      <c r="N7" s="15">
        <v>0</v>
      </c>
      <c r="O7" s="15">
        <v>0.02</v>
      </c>
      <c r="P7" s="15">
        <v>0.01</v>
      </c>
      <c r="Q7" s="15">
        <v>0</v>
      </c>
    </row>
    <row r="8" spans="1:17" ht="33" customHeight="1">
      <c r="A8" s="3" t="s">
        <v>88</v>
      </c>
      <c r="B8" s="5" t="s">
        <v>63</v>
      </c>
      <c r="C8" s="9">
        <v>200</v>
      </c>
      <c r="D8" s="9">
        <v>3.8</v>
      </c>
      <c r="E8" s="9">
        <v>3.5</v>
      </c>
      <c r="F8" s="9">
        <v>11.1</v>
      </c>
      <c r="G8" s="9">
        <v>86</v>
      </c>
      <c r="H8" s="9">
        <v>112</v>
      </c>
      <c r="I8" s="9">
        <v>30</v>
      </c>
      <c r="J8" s="9">
        <v>107</v>
      </c>
      <c r="K8" s="9">
        <v>9</v>
      </c>
      <c r="L8" s="9">
        <v>1.8</v>
      </c>
      <c r="M8" s="9">
        <v>1</v>
      </c>
      <c r="N8" s="9">
        <v>0.02</v>
      </c>
      <c r="O8" s="9">
        <v>0.11</v>
      </c>
      <c r="P8" s="9">
        <v>0.2</v>
      </c>
      <c r="Q8" s="9">
        <v>0</v>
      </c>
    </row>
    <row r="9" spans="1:17" s="16" customFormat="1" ht="18.75" customHeight="1">
      <c r="A9" s="29" t="s">
        <v>24</v>
      </c>
      <c r="B9" s="5" t="s">
        <v>115</v>
      </c>
      <c r="C9" s="15">
        <v>100</v>
      </c>
      <c r="D9" s="15">
        <v>0.3</v>
      </c>
      <c r="E9" s="15">
        <v>0.3</v>
      </c>
      <c r="F9" s="15">
        <v>10</v>
      </c>
      <c r="G9" s="15">
        <v>44.4</v>
      </c>
      <c r="H9" s="15">
        <v>12</v>
      </c>
      <c r="I9" s="15">
        <v>6.75</v>
      </c>
      <c r="J9" s="15">
        <v>8.25</v>
      </c>
      <c r="K9" s="15">
        <v>0</v>
      </c>
      <c r="L9" s="15">
        <v>0</v>
      </c>
      <c r="M9" s="15">
        <v>1.65</v>
      </c>
      <c r="N9" s="15">
        <v>2.2499999999999999E-2</v>
      </c>
      <c r="O9" s="15">
        <v>1.4999999999999999E-2</v>
      </c>
      <c r="P9" s="15">
        <v>0.22500000000000001</v>
      </c>
      <c r="Q9" s="15">
        <v>7.5</v>
      </c>
    </row>
    <row r="10" spans="1:17" s="16" customFormat="1" ht="15.75">
      <c r="A10" s="18"/>
      <c r="B10" s="19" t="s">
        <v>18</v>
      </c>
      <c r="C10" s="15">
        <f>SUM(C5:C9)</f>
        <v>600</v>
      </c>
      <c r="D10" s="15">
        <f>SUM(D5:D9)</f>
        <v>12.219999999999999</v>
      </c>
      <c r="E10" s="15">
        <f t="shared" ref="E10:Q10" si="0">SUM(E5:E9)</f>
        <v>26.240000000000002</v>
      </c>
      <c r="F10" s="15">
        <f t="shared" si="0"/>
        <v>66.260000000000005</v>
      </c>
      <c r="G10" s="15">
        <f t="shared" si="0"/>
        <v>541.70000000000005</v>
      </c>
      <c r="H10" s="15">
        <f t="shared" si="0"/>
        <v>310.7</v>
      </c>
      <c r="I10" s="15">
        <f t="shared" si="0"/>
        <v>70.650000000000006</v>
      </c>
      <c r="J10" s="15">
        <f t="shared" si="0"/>
        <v>288.75</v>
      </c>
      <c r="K10" s="15">
        <f>SUM(K5:K9)</f>
        <v>61.42</v>
      </c>
      <c r="L10" s="15">
        <f>SUM(L5:L9)</f>
        <v>8.6</v>
      </c>
      <c r="M10" s="15">
        <f t="shared" si="0"/>
        <v>3.41</v>
      </c>
      <c r="N10" s="15">
        <f t="shared" si="0"/>
        <v>0.13550000000000001</v>
      </c>
      <c r="O10" s="15">
        <f t="shared" si="0"/>
        <v>0.33400000000000002</v>
      </c>
      <c r="P10" s="15">
        <f t="shared" si="0"/>
        <v>0.70500000000000007</v>
      </c>
      <c r="Q10" s="15">
        <f t="shared" si="0"/>
        <v>8.5</v>
      </c>
    </row>
    <row r="11" spans="1:17" s="14" customFormat="1" ht="15.75">
      <c r="A11" s="36" t="s">
        <v>49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>
      <c r="A12" s="37" t="s">
        <v>0</v>
      </c>
      <c r="B12" s="37" t="s">
        <v>1</v>
      </c>
      <c r="C12" s="37" t="s">
        <v>2</v>
      </c>
      <c r="D12" s="40" t="s">
        <v>3</v>
      </c>
      <c r="E12" s="41"/>
      <c r="F12" s="42"/>
      <c r="G12" s="37" t="s">
        <v>16</v>
      </c>
      <c r="H12" s="40" t="s">
        <v>7</v>
      </c>
      <c r="I12" s="41"/>
      <c r="J12" s="41"/>
      <c r="K12" s="41"/>
      <c r="L12" s="41"/>
      <c r="M12" s="42"/>
      <c r="N12" s="40" t="s">
        <v>19</v>
      </c>
      <c r="O12" s="41"/>
      <c r="P12" s="41"/>
      <c r="Q12" s="42"/>
    </row>
    <row r="13" spans="1:17" ht="45.75" customHeight="1">
      <c r="A13" s="39"/>
      <c r="B13" s="39"/>
      <c r="C13" s="39"/>
      <c r="D13" s="7" t="s">
        <v>4</v>
      </c>
      <c r="E13" s="8" t="s">
        <v>5</v>
      </c>
      <c r="F13" s="8" t="s">
        <v>6</v>
      </c>
      <c r="G13" s="39"/>
      <c r="H13" s="6" t="s">
        <v>8</v>
      </c>
      <c r="I13" s="6" t="s">
        <v>9</v>
      </c>
      <c r="J13" s="6" t="s">
        <v>10</v>
      </c>
      <c r="K13" s="30" t="s">
        <v>93</v>
      </c>
      <c r="L13" s="30" t="s">
        <v>94</v>
      </c>
      <c r="M13" s="6" t="s">
        <v>11</v>
      </c>
      <c r="N13" s="6" t="s">
        <v>12</v>
      </c>
      <c r="O13" s="6" t="s">
        <v>13</v>
      </c>
      <c r="P13" s="6" t="s">
        <v>14</v>
      </c>
      <c r="Q13" s="6" t="s">
        <v>15</v>
      </c>
    </row>
    <row r="14" spans="1:17" ht="15.75">
      <c r="A14" s="1"/>
      <c r="B14" s="33" t="s">
        <v>17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</row>
    <row r="15" spans="1:17" ht="31.5">
      <c r="A15" s="3" t="s">
        <v>75</v>
      </c>
      <c r="B15" s="4" t="s">
        <v>22</v>
      </c>
      <c r="C15" s="21">
        <v>200</v>
      </c>
      <c r="D15" s="21">
        <f>8.2*200/200</f>
        <v>8.1999999999999993</v>
      </c>
      <c r="E15" s="21">
        <f>6.5*200/200</f>
        <v>6.5</v>
      </c>
      <c r="F15" s="21">
        <f>42.8*200/200</f>
        <v>42.8</v>
      </c>
      <c r="G15" s="21">
        <f>262.5*200/200</f>
        <v>262.5</v>
      </c>
      <c r="H15" s="21">
        <f>46*200/200</f>
        <v>46</v>
      </c>
      <c r="I15" s="21">
        <f>59*200/200</f>
        <v>59</v>
      </c>
      <c r="J15" s="21">
        <f>180*200/150</f>
        <v>240</v>
      </c>
      <c r="K15" s="21">
        <f>20*200/200</f>
        <v>20</v>
      </c>
      <c r="L15" s="21">
        <f>3.6*200/200</f>
        <v>3.6</v>
      </c>
      <c r="M15" s="21">
        <f>5*200/200</f>
        <v>5</v>
      </c>
      <c r="N15" s="21">
        <f>0.3*200/200</f>
        <v>0.3</v>
      </c>
      <c r="O15" s="21">
        <f>0.1*200/200</f>
        <v>0.1</v>
      </c>
      <c r="P15" s="21">
        <f>2.3*200/200</f>
        <v>2.2999999999999998</v>
      </c>
      <c r="Q15" s="21">
        <v>0</v>
      </c>
    </row>
    <row r="16" spans="1:17" ht="33.75" customHeight="1">
      <c r="A16" s="17" t="s">
        <v>129</v>
      </c>
      <c r="B16" s="6" t="s">
        <v>130</v>
      </c>
      <c r="C16" s="10">
        <v>90</v>
      </c>
      <c r="D16" s="9">
        <v>13.01</v>
      </c>
      <c r="E16" s="9">
        <v>13.17</v>
      </c>
      <c r="F16" s="9">
        <v>7.28</v>
      </c>
      <c r="G16" s="9">
        <v>199.7</v>
      </c>
      <c r="H16" s="9">
        <v>23</v>
      </c>
      <c r="I16" s="9">
        <v>20</v>
      </c>
      <c r="J16" s="9">
        <v>139</v>
      </c>
      <c r="K16" s="9">
        <v>26.85</v>
      </c>
      <c r="L16" s="9">
        <v>1.4</v>
      </c>
      <c r="M16" s="9">
        <v>1.8</v>
      </c>
      <c r="N16" s="9">
        <v>0.04</v>
      </c>
      <c r="O16" s="9">
        <v>0.1</v>
      </c>
      <c r="P16" s="9">
        <v>0</v>
      </c>
      <c r="Q16" s="9">
        <v>0</v>
      </c>
    </row>
    <row r="17" spans="1:17" s="16" customFormat="1" ht="32.25" customHeight="1">
      <c r="A17" s="17" t="s">
        <v>127</v>
      </c>
      <c r="B17" s="6" t="s">
        <v>128</v>
      </c>
      <c r="C17" s="15">
        <v>50</v>
      </c>
      <c r="D17" s="15">
        <v>1.8</v>
      </c>
      <c r="E17" s="15">
        <v>3.7</v>
      </c>
      <c r="F17" s="15">
        <v>4.7699999999999996</v>
      </c>
      <c r="G17" s="15">
        <v>59.6</v>
      </c>
      <c r="H17" s="15">
        <v>55</v>
      </c>
      <c r="I17" s="15">
        <v>7</v>
      </c>
      <c r="J17" s="15">
        <v>43</v>
      </c>
      <c r="K17" s="15">
        <v>10.56</v>
      </c>
      <c r="L17" s="15">
        <v>1.1000000000000001</v>
      </c>
      <c r="M17" s="15">
        <v>0</v>
      </c>
      <c r="N17" s="15">
        <v>0.01</v>
      </c>
      <c r="O17" s="15">
        <v>0.06</v>
      </c>
      <c r="P17" s="15">
        <v>0</v>
      </c>
      <c r="Q17" s="15">
        <v>0</v>
      </c>
    </row>
    <row r="18" spans="1:17" ht="33" customHeight="1">
      <c r="A18" s="3" t="s">
        <v>82</v>
      </c>
      <c r="B18" s="5" t="s">
        <v>52</v>
      </c>
      <c r="C18" s="9">
        <v>200</v>
      </c>
      <c r="D18" s="9">
        <v>0.2</v>
      </c>
      <c r="E18" s="9">
        <v>0</v>
      </c>
      <c r="F18" s="9">
        <v>6.4</v>
      </c>
      <c r="G18" s="9">
        <v>26.4</v>
      </c>
      <c r="H18" s="9">
        <v>4</v>
      </c>
      <c r="I18" s="9">
        <v>4</v>
      </c>
      <c r="J18" s="9">
        <v>7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0.1</v>
      </c>
      <c r="Q18" s="9">
        <v>0</v>
      </c>
    </row>
    <row r="19" spans="1:17" ht="64.5" customHeight="1">
      <c r="A19" s="3" t="s">
        <v>116</v>
      </c>
      <c r="B19" s="5" t="s">
        <v>117</v>
      </c>
      <c r="C19" s="9">
        <v>100</v>
      </c>
      <c r="D19" s="9">
        <v>1.37</v>
      </c>
      <c r="E19" s="9">
        <v>10.15</v>
      </c>
      <c r="F19" s="9">
        <v>6.03</v>
      </c>
      <c r="G19" s="9">
        <v>120.9</v>
      </c>
      <c r="H19" s="9">
        <v>38</v>
      </c>
      <c r="I19" s="9">
        <v>19</v>
      </c>
      <c r="J19" s="9">
        <v>31</v>
      </c>
      <c r="K19" s="9">
        <v>16.440000000000001</v>
      </c>
      <c r="L19" s="9">
        <v>0.3</v>
      </c>
      <c r="M19" s="9">
        <v>0.8</v>
      </c>
      <c r="N19" s="9">
        <v>0.04</v>
      </c>
      <c r="O19" s="9">
        <v>0.03</v>
      </c>
      <c r="P19" s="9">
        <v>0</v>
      </c>
      <c r="Q19" s="9">
        <v>29</v>
      </c>
    </row>
    <row r="20" spans="1:17" s="16" customFormat="1" ht="15.75" customHeight="1">
      <c r="A20" s="17" t="s">
        <v>24</v>
      </c>
      <c r="B20" s="6" t="s">
        <v>50</v>
      </c>
      <c r="C20" s="15">
        <v>30</v>
      </c>
      <c r="D20" s="15">
        <v>2.2799999999999998</v>
      </c>
      <c r="E20" s="15">
        <v>0.24</v>
      </c>
      <c r="F20" s="15">
        <v>14.76</v>
      </c>
      <c r="G20" s="15">
        <v>70.3</v>
      </c>
      <c r="H20" s="15">
        <v>5.7</v>
      </c>
      <c r="I20" s="15">
        <v>3.9</v>
      </c>
      <c r="J20" s="15">
        <v>19.5</v>
      </c>
      <c r="K20" s="15">
        <v>0</v>
      </c>
      <c r="L20" s="15">
        <v>0</v>
      </c>
      <c r="M20" s="15">
        <v>0.36</v>
      </c>
      <c r="N20" s="15">
        <v>3.3000000000000002E-2</v>
      </c>
      <c r="O20" s="15">
        <v>8.9999999999999993E-3</v>
      </c>
      <c r="P20" s="15">
        <v>0.27</v>
      </c>
      <c r="Q20" s="15">
        <v>0</v>
      </c>
    </row>
    <row r="21" spans="1:17" ht="15.75">
      <c r="A21" s="2"/>
      <c r="B21" s="11" t="s">
        <v>18</v>
      </c>
      <c r="C21" s="9">
        <f t="shared" ref="C21:Q21" si="1">SUM(C15:C20)</f>
        <v>670</v>
      </c>
      <c r="D21" s="9">
        <f t="shared" si="1"/>
        <v>26.860000000000003</v>
      </c>
      <c r="E21" s="9">
        <f t="shared" si="1"/>
        <v>33.760000000000005</v>
      </c>
      <c r="F21" s="9">
        <f t="shared" si="1"/>
        <v>82.039999999999992</v>
      </c>
      <c r="G21" s="9">
        <f t="shared" si="1"/>
        <v>739.39999999999986</v>
      </c>
      <c r="H21" s="9">
        <f t="shared" si="1"/>
        <v>171.7</v>
      </c>
      <c r="I21" s="9">
        <f t="shared" si="1"/>
        <v>112.9</v>
      </c>
      <c r="J21" s="9">
        <f t="shared" si="1"/>
        <v>479.5</v>
      </c>
      <c r="K21" s="9">
        <f t="shared" si="1"/>
        <v>73.850000000000009</v>
      </c>
      <c r="L21" s="9">
        <f t="shared" si="1"/>
        <v>6.3999999999999995</v>
      </c>
      <c r="M21" s="9">
        <f t="shared" si="1"/>
        <v>8.9599999999999991</v>
      </c>
      <c r="N21" s="9">
        <f t="shared" si="1"/>
        <v>0.42299999999999993</v>
      </c>
      <c r="O21" s="9">
        <f t="shared" si="1"/>
        <v>0.29900000000000004</v>
      </c>
      <c r="P21" s="9">
        <f t="shared" si="1"/>
        <v>2.67</v>
      </c>
      <c r="Q21" s="9">
        <f t="shared" si="1"/>
        <v>29</v>
      </c>
    </row>
    <row r="22" spans="1:17" s="14" customFormat="1" ht="15.75">
      <c r="A22" s="36" t="s">
        <v>53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>
      <c r="A23" s="37" t="s">
        <v>0</v>
      </c>
      <c r="B23" s="37" t="s">
        <v>1</v>
      </c>
      <c r="C23" s="37" t="s">
        <v>2</v>
      </c>
      <c r="D23" s="40" t="s">
        <v>3</v>
      </c>
      <c r="E23" s="41"/>
      <c r="F23" s="42"/>
      <c r="G23" s="37" t="s">
        <v>16</v>
      </c>
      <c r="H23" s="40" t="s">
        <v>7</v>
      </c>
      <c r="I23" s="41"/>
      <c r="J23" s="41"/>
      <c r="K23" s="41"/>
      <c r="L23" s="41"/>
      <c r="M23" s="42"/>
      <c r="N23" s="40" t="s">
        <v>19</v>
      </c>
      <c r="O23" s="41"/>
      <c r="P23" s="41"/>
      <c r="Q23" s="42"/>
    </row>
    <row r="24" spans="1:17" ht="45.75" customHeight="1">
      <c r="A24" s="39"/>
      <c r="B24" s="39"/>
      <c r="C24" s="39"/>
      <c r="D24" s="7" t="s">
        <v>4</v>
      </c>
      <c r="E24" s="8" t="s">
        <v>5</v>
      </c>
      <c r="F24" s="8" t="s">
        <v>6</v>
      </c>
      <c r="G24" s="39"/>
      <c r="H24" s="6" t="s">
        <v>8</v>
      </c>
      <c r="I24" s="6" t="s">
        <v>9</v>
      </c>
      <c r="J24" s="6" t="s">
        <v>10</v>
      </c>
      <c r="K24" s="30" t="s">
        <v>93</v>
      </c>
      <c r="L24" s="30" t="s">
        <v>94</v>
      </c>
      <c r="M24" s="6" t="s">
        <v>11</v>
      </c>
      <c r="N24" s="6" t="s">
        <v>12</v>
      </c>
      <c r="O24" s="6" t="s">
        <v>13</v>
      </c>
      <c r="P24" s="6" t="s">
        <v>14</v>
      </c>
      <c r="Q24" s="6" t="s">
        <v>15</v>
      </c>
    </row>
    <row r="25" spans="1:17" ht="15.75">
      <c r="A25" s="1"/>
      <c r="B25" s="33" t="s">
        <v>17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/>
    </row>
    <row r="26" spans="1:17" ht="31.5">
      <c r="A26" s="3" t="s">
        <v>71</v>
      </c>
      <c r="B26" s="4" t="s">
        <v>54</v>
      </c>
      <c r="C26" s="21">
        <v>30</v>
      </c>
      <c r="D26" s="21">
        <v>7.02</v>
      </c>
      <c r="E26" s="21">
        <v>9</v>
      </c>
      <c r="F26" s="21">
        <v>0</v>
      </c>
      <c r="G26" s="21">
        <v>109.1</v>
      </c>
      <c r="H26" s="21">
        <v>300</v>
      </c>
      <c r="I26" s="21">
        <v>14</v>
      </c>
      <c r="J26" s="21">
        <v>163</v>
      </c>
      <c r="K26" s="21">
        <v>0</v>
      </c>
      <c r="L26" s="21">
        <v>0</v>
      </c>
      <c r="M26" s="21">
        <v>0</v>
      </c>
      <c r="N26" s="21">
        <v>0.01</v>
      </c>
      <c r="O26" s="21">
        <v>0.09</v>
      </c>
      <c r="P26" s="21">
        <v>0.09</v>
      </c>
      <c r="Q26" s="21">
        <v>0</v>
      </c>
    </row>
    <row r="27" spans="1:17" ht="43.5" customHeight="1">
      <c r="A27" s="17" t="s">
        <v>134</v>
      </c>
      <c r="B27" s="6" t="s">
        <v>135</v>
      </c>
      <c r="C27" s="9">
        <v>250</v>
      </c>
      <c r="D27" s="9">
        <v>26.21</v>
      </c>
      <c r="E27" s="9">
        <v>8.8000000000000007</v>
      </c>
      <c r="F27" s="9">
        <v>21.9</v>
      </c>
      <c r="G27" s="9">
        <v>271.60000000000002</v>
      </c>
      <c r="H27" s="9">
        <v>40</v>
      </c>
      <c r="I27" s="9">
        <v>118</v>
      </c>
      <c r="J27" s="9">
        <v>239</v>
      </c>
      <c r="K27" s="9">
        <v>53.71</v>
      </c>
      <c r="L27" s="9">
        <v>21.4</v>
      </c>
      <c r="M27" s="9">
        <v>2.7</v>
      </c>
      <c r="N27" s="9">
        <v>0.17</v>
      </c>
      <c r="O27" s="9">
        <v>0.13</v>
      </c>
      <c r="P27" s="9">
        <v>0</v>
      </c>
      <c r="Q27" s="9">
        <v>14</v>
      </c>
    </row>
    <row r="28" spans="1:17" s="16" customFormat="1" ht="45.75" customHeight="1">
      <c r="A28" s="17" t="s">
        <v>85</v>
      </c>
      <c r="B28" s="6" t="s">
        <v>86</v>
      </c>
      <c r="C28" s="15">
        <v>200</v>
      </c>
      <c r="D28" s="15">
        <v>1.5</v>
      </c>
      <c r="E28" s="15">
        <v>1.4</v>
      </c>
      <c r="F28" s="15">
        <v>8.6</v>
      </c>
      <c r="G28" s="15">
        <v>51</v>
      </c>
      <c r="H28" s="15">
        <v>57</v>
      </c>
      <c r="I28" s="15">
        <v>10</v>
      </c>
      <c r="J28" s="15">
        <v>47</v>
      </c>
      <c r="K28" s="15">
        <v>4.5</v>
      </c>
      <c r="L28" s="15">
        <v>0.9</v>
      </c>
      <c r="M28" s="15">
        <v>1</v>
      </c>
      <c r="N28" s="15">
        <v>0</v>
      </c>
      <c r="O28" s="15">
        <v>0.06</v>
      </c>
      <c r="P28" s="15">
        <v>0.1</v>
      </c>
      <c r="Q28" s="15">
        <v>0</v>
      </c>
    </row>
    <row r="29" spans="1:17" s="16" customFormat="1" ht="15.75" customHeight="1">
      <c r="A29" s="17" t="s">
        <v>24</v>
      </c>
      <c r="B29" s="6" t="s">
        <v>50</v>
      </c>
      <c r="C29" s="15">
        <v>30</v>
      </c>
      <c r="D29" s="15">
        <v>2.2799999999999998</v>
      </c>
      <c r="E29" s="15">
        <v>0.24</v>
      </c>
      <c r="F29" s="15">
        <v>14.76</v>
      </c>
      <c r="G29" s="15">
        <v>70.3</v>
      </c>
      <c r="H29" s="15">
        <v>5.7</v>
      </c>
      <c r="I29" s="15">
        <v>3.9</v>
      </c>
      <c r="J29" s="15">
        <v>19.5</v>
      </c>
      <c r="K29" s="15">
        <v>0</v>
      </c>
      <c r="L29" s="15">
        <v>0</v>
      </c>
      <c r="M29" s="15">
        <v>0.36</v>
      </c>
      <c r="N29" s="15">
        <v>3.3000000000000002E-2</v>
      </c>
      <c r="O29" s="15">
        <v>8.9999999999999993E-3</v>
      </c>
      <c r="P29" s="15">
        <v>0.27</v>
      </c>
      <c r="Q29" s="15">
        <v>0</v>
      </c>
    </row>
    <row r="30" spans="1:17" ht="16.5" customHeight="1">
      <c r="A30" s="3" t="s">
        <v>24</v>
      </c>
      <c r="B30" s="5" t="s">
        <v>115</v>
      </c>
      <c r="C30" s="9">
        <v>100</v>
      </c>
      <c r="D30" s="9">
        <v>0.8</v>
      </c>
      <c r="E30" s="9">
        <v>0.2</v>
      </c>
      <c r="F30" s="9">
        <v>8</v>
      </c>
      <c r="G30" s="9">
        <v>35</v>
      </c>
      <c r="H30" s="9">
        <v>35</v>
      </c>
      <c r="I30" s="9">
        <v>11</v>
      </c>
      <c r="J30" s="9">
        <v>17</v>
      </c>
      <c r="K30" s="9">
        <v>0.3</v>
      </c>
      <c r="L30" s="9">
        <v>0.1</v>
      </c>
      <c r="M30" s="9">
        <v>0.1</v>
      </c>
      <c r="N30" s="9">
        <v>0.06</v>
      </c>
      <c r="O30" s="9">
        <v>0.03</v>
      </c>
      <c r="P30" s="9">
        <v>0</v>
      </c>
      <c r="Q30" s="9">
        <v>38</v>
      </c>
    </row>
    <row r="31" spans="1:17" ht="15.75">
      <c r="A31" s="2"/>
      <c r="B31" s="11" t="s">
        <v>18</v>
      </c>
      <c r="C31" s="9">
        <f t="shared" ref="C31:Q31" si="2">SUM(C26:C30)</f>
        <v>610</v>
      </c>
      <c r="D31" s="9">
        <f t="shared" si="2"/>
        <v>37.81</v>
      </c>
      <c r="E31" s="9">
        <f t="shared" si="2"/>
        <v>19.639999999999997</v>
      </c>
      <c r="F31" s="9">
        <f t="shared" si="2"/>
        <v>53.26</v>
      </c>
      <c r="G31" s="9">
        <f t="shared" si="2"/>
        <v>537</v>
      </c>
      <c r="H31" s="9">
        <f t="shared" si="2"/>
        <v>437.7</v>
      </c>
      <c r="I31" s="9">
        <f t="shared" si="2"/>
        <v>156.9</v>
      </c>
      <c r="J31" s="9">
        <f t="shared" si="2"/>
        <v>485.5</v>
      </c>
      <c r="K31" s="9">
        <f t="shared" si="2"/>
        <v>58.51</v>
      </c>
      <c r="L31" s="9">
        <f t="shared" si="2"/>
        <v>22.4</v>
      </c>
      <c r="M31" s="9">
        <f t="shared" si="2"/>
        <v>4.16</v>
      </c>
      <c r="N31" s="9">
        <f t="shared" si="2"/>
        <v>0.27300000000000002</v>
      </c>
      <c r="O31" s="9">
        <f t="shared" si="2"/>
        <v>0.31900000000000006</v>
      </c>
      <c r="P31" s="9">
        <f t="shared" si="2"/>
        <v>0.46</v>
      </c>
      <c r="Q31" s="9">
        <f t="shared" si="2"/>
        <v>52</v>
      </c>
    </row>
    <row r="32" spans="1:17" s="14" customFormat="1" ht="15.75">
      <c r="A32" s="36" t="s">
        <v>55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>
      <c r="A33" s="37" t="s">
        <v>0</v>
      </c>
      <c r="B33" s="37" t="s">
        <v>1</v>
      </c>
      <c r="C33" s="37" t="s">
        <v>2</v>
      </c>
      <c r="D33" s="40" t="s">
        <v>3</v>
      </c>
      <c r="E33" s="41"/>
      <c r="F33" s="42"/>
      <c r="G33" s="37" t="s">
        <v>16</v>
      </c>
      <c r="H33" s="40" t="s">
        <v>7</v>
      </c>
      <c r="I33" s="41"/>
      <c r="J33" s="41"/>
      <c r="K33" s="41"/>
      <c r="L33" s="41"/>
      <c r="M33" s="42"/>
      <c r="N33" s="40" t="s">
        <v>19</v>
      </c>
      <c r="O33" s="41"/>
      <c r="P33" s="41"/>
      <c r="Q33" s="42"/>
    </row>
    <row r="34" spans="1:17" ht="45.75" customHeight="1">
      <c r="A34" s="39"/>
      <c r="B34" s="39"/>
      <c r="C34" s="39"/>
      <c r="D34" s="7" t="s">
        <v>4</v>
      </c>
      <c r="E34" s="8" t="s">
        <v>5</v>
      </c>
      <c r="F34" s="8" t="s">
        <v>6</v>
      </c>
      <c r="G34" s="39"/>
      <c r="H34" s="6" t="s">
        <v>8</v>
      </c>
      <c r="I34" s="6" t="s">
        <v>9</v>
      </c>
      <c r="J34" s="6" t="s">
        <v>10</v>
      </c>
      <c r="K34" s="30" t="s">
        <v>93</v>
      </c>
      <c r="L34" s="30" t="s">
        <v>94</v>
      </c>
      <c r="M34" s="6" t="s">
        <v>11</v>
      </c>
      <c r="N34" s="6" t="s">
        <v>12</v>
      </c>
      <c r="O34" s="6" t="s">
        <v>13</v>
      </c>
      <c r="P34" s="6" t="s">
        <v>14</v>
      </c>
      <c r="Q34" s="6" t="s">
        <v>15</v>
      </c>
    </row>
    <row r="35" spans="1:17" ht="15.75">
      <c r="A35" s="1"/>
      <c r="B35" s="33" t="s">
        <v>17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</row>
    <row r="36" spans="1:17" ht="31.5">
      <c r="A36" s="3" t="s">
        <v>77</v>
      </c>
      <c r="B36" s="4" t="s">
        <v>56</v>
      </c>
      <c r="C36" s="21">
        <v>200</v>
      </c>
      <c r="D36" s="21">
        <v>4.0999999999999996</v>
      </c>
      <c r="E36" s="21">
        <v>7.07</v>
      </c>
      <c r="F36" s="21">
        <v>26.43</v>
      </c>
      <c r="G36" s="21">
        <v>185.8</v>
      </c>
      <c r="H36" s="21">
        <v>53</v>
      </c>
      <c r="I36" s="21">
        <v>38</v>
      </c>
      <c r="J36" s="21">
        <f>84*200/150</f>
        <v>112</v>
      </c>
      <c r="K36" s="21">
        <v>37.950000000000003</v>
      </c>
      <c r="L36" s="21">
        <v>1.1000000000000001</v>
      </c>
      <c r="M36" s="21">
        <v>1.3</v>
      </c>
      <c r="N36" s="21">
        <v>0.16</v>
      </c>
      <c r="O36" s="21">
        <v>0.14000000000000001</v>
      </c>
      <c r="P36" s="21">
        <v>0</v>
      </c>
      <c r="Q36" s="21">
        <v>13</v>
      </c>
    </row>
    <row r="37" spans="1:17" ht="30.75" customHeight="1">
      <c r="A37" s="17" t="s">
        <v>79</v>
      </c>
      <c r="B37" s="6" t="s">
        <v>57</v>
      </c>
      <c r="C37" s="9">
        <v>50</v>
      </c>
      <c r="D37" s="9">
        <v>1.35</v>
      </c>
      <c r="E37" s="9">
        <v>2.1</v>
      </c>
      <c r="F37" s="9">
        <v>2.2000000000000002</v>
      </c>
      <c r="G37" s="9">
        <v>32.75</v>
      </c>
      <c r="H37" s="9">
        <v>2.5</v>
      </c>
      <c r="I37" s="9">
        <v>1</v>
      </c>
      <c r="J37" s="9">
        <v>4.5</v>
      </c>
      <c r="K37" s="9">
        <v>0.7</v>
      </c>
      <c r="L37" s="9">
        <v>0.15</v>
      </c>
      <c r="M37" s="9">
        <v>0</v>
      </c>
      <c r="N37" s="9">
        <v>5.0000000000000001E-3</v>
      </c>
      <c r="O37" s="9">
        <v>0</v>
      </c>
      <c r="P37" s="9">
        <v>0.05</v>
      </c>
      <c r="Q37" s="9">
        <v>0</v>
      </c>
    </row>
    <row r="38" spans="1:17" s="16" customFormat="1" ht="47.25" customHeight="1">
      <c r="A38" s="17" t="s">
        <v>133</v>
      </c>
      <c r="B38" s="6" t="s">
        <v>96</v>
      </c>
      <c r="C38" s="15">
        <v>100</v>
      </c>
      <c r="D38" s="15">
        <v>19</v>
      </c>
      <c r="E38" s="15">
        <v>21.95</v>
      </c>
      <c r="F38" s="15">
        <v>5.5</v>
      </c>
      <c r="G38" s="15">
        <v>295.7</v>
      </c>
      <c r="H38" s="15">
        <v>142</v>
      </c>
      <c r="I38" s="15">
        <v>58</v>
      </c>
      <c r="J38" s="15">
        <v>283</v>
      </c>
      <c r="K38" s="15">
        <v>175.62</v>
      </c>
      <c r="L38" s="15">
        <v>16</v>
      </c>
      <c r="M38" s="15">
        <v>1</v>
      </c>
      <c r="N38" s="15">
        <v>0.1</v>
      </c>
      <c r="O38" s="15">
        <v>0.17</v>
      </c>
      <c r="P38" s="15">
        <v>0</v>
      </c>
      <c r="Q38" s="15">
        <v>0</v>
      </c>
    </row>
    <row r="39" spans="1:17" s="16" customFormat="1" ht="15.75" customHeight="1">
      <c r="A39" s="17" t="s">
        <v>24</v>
      </c>
      <c r="B39" s="6" t="s">
        <v>50</v>
      </c>
      <c r="C39" s="15">
        <v>30</v>
      </c>
      <c r="D39" s="15">
        <v>2.2799999999999998</v>
      </c>
      <c r="E39" s="15">
        <v>0.24</v>
      </c>
      <c r="F39" s="15">
        <v>14.76</v>
      </c>
      <c r="G39" s="15">
        <v>70.3</v>
      </c>
      <c r="H39" s="15">
        <v>5.7</v>
      </c>
      <c r="I39" s="15">
        <v>3.9</v>
      </c>
      <c r="J39" s="15">
        <v>19.5</v>
      </c>
      <c r="K39" s="15">
        <v>0</v>
      </c>
      <c r="L39" s="15">
        <v>0</v>
      </c>
      <c r="M39" s="15">
        <v>0.36</v>
      </c>
      <c r="N39" s="15">
        <v>3.3000000000000002E-2</v>
      </c>
      <c r="O39" s="15">
        <v>8.9999999999999993E-3</v>
      </c>
      <c r="P39" s="15">
        <v>0.27</v>
      </c>
      <c r="Q39" s="15">
        <v>0</v>
      </c>
    </row>
    <row r="40" spans="1:17" s="16" customFormat="1" ht="45.75" customHeight="1">
      <c r="A40" s="17" t="s">
        <v>118</v>
      </c>
      <c r="B40" s="6" t="s">
        <v>119</v>
      </c>
      <c r="C40" s="15">
        <v>100</v>
      </c>
      <c r="D40" s="15">
        <v>1.17</v>
      </c>
      <c r="E40" s="15">
        <v>8.9499999999999993</v>
      </c>
      <c r="F40" s="15">
        <v>6.67</v>
      </c>
      <c r="G40" s="15">
        <v>111.9</v>
      </c>
      <c r="H40" s="15">
        <v>20</v>
      </c>
      <c r="I40" s="15">
        <v>16</v>
      </c>
      <c r="J40" s="15">
        <v>36</v>
      </c>
      <c r="K40" s="15">
        <v>13.1</v>
      </c>
      <c r="L40" s="15">
        <v>0.3</v>
      </c>
      <c r="M40" s="15">
        <v>0.8</v>
      </c>
      <c r="N40" s="15">
        <v>0.03</v>
      </c>
      <c r="O40" s="15">
        <v>0.02</v>
      </c>
      <c r="P40" s="15">
        <v>0</v>
      </c>
      <c r="Q40" s="15">
        <v>5</v>
      </c>
    </row>
    <row r="41" spans="1:17" ht="45.75" customHeight="1">
      <c r="A41" s="3" t="s">
        <v>83</v>
      </c>
      <c r="B41" s="5" t="s">
        <v>84</v>
      </c>
      <c r="C41" s="9">
        <v>200</v>
      </c>
      <c r="D41" s="9">
        <v>0.3</v>
      </c>
      <c r="E41" s="9">
        <v>0</v>
      </c>
      <c r="F41" s="9">
        <v>6.7</v>
      </c>
      <c r="G41" s="9">
        <v>27.6</v>
      </c>
      <c r="H41" s="9">
        <v>6</v>
      </c>
      <c r="I41" s="9">
        <v>5</v>
      </c>
      <c r="J41" s="9">
        <v>8</v>
      </c>
      <c r="K41" s="9">
        <v>0</v>
      </c>
      <c r="L41" s="9">
        <v>0</v>
      </c>
      <c r="M41" s="9">
        <v>1</v>
      </c>
      <c r="N41" s="9">
        <v>0</v>
      </c>
      <c r="O41" s="9">
        <v>0.01</v>
      </c>
      <c r="P41" s="9">
        <v>7.0000000000000007E-2</v>
      </c>
      <c r="Q41" s="9">
        <v>1</v>
      </c>
    </row>
    <row r="42" spans="1:17" ht="15.75">
      <c r="A42" s="2"/>
      <c r="B42" s="11" t="s">
        <v>18</v>
      </c>
      <c r="C42" s="9">
        <f t="shared" ref="C42:Q42" si="3">SUM(C36:C41)</f>
        <v>680</v>
      </c>
      <c r="D42" s="9">
        <f t="shared" si="3"/>
        <v>28.2</v>
      </c>
      <c r="E42" s="9">
        <f t="shared" si="3"/>
        <v>40.309999999999995</v>
      </c>
      <c r="F42" s="9">
        <f t="shared" si="3"/>
        <v>62.26</v>
      </c>
      <c r="G42" s="9">
        <f t="shared" si="3"/>
        <v>724.05</v>
      </c>
      <c r="H42" s="9">
        <f t="shared" si="3"/>
        <v>229.2</v>
      </c>
      <c r="I42" s="9">
        <f t="shared" si="3"/>
        <v>121.9</v>
      </c>
      <c r="J42" s="9">
        <f t="shared" si="3"/>
        <v>463</v>
      </c>
      <c r="K42" s="9">
        <f t="shared" si="3"/>
        <v>227.37</v>
      </c>
      <c r="L42" s="9">
        <f t="shared" si="3"/>
        <v>17.55</v>
      </c>
      <c r="M42" s="9">
        <f t="shared" si="3"/>
        <v>4.46</v>
      </c>
      <c r="N42" s="9">
        <f t="shared" si="3"/>
        <v>0.32800000000000007</v>
      </c>
      <c r="O42" s="9">
        <f t="shared" si="3"/>
        <v>0.34900000000000009</v>
      </c>
      <c r="P42" s="9">
        <f t="shared" si="3"/>
        <v>0.39</v>
      </c>
      <c r="Q42" s="9">
        <f t="shared" si="3"/>
        <v>19</v>
      </c>
    </row>
    <row r="43" spans="1:17" s="14" customFormat="1" ht="15.75">
      <c r="A43" s="36" t="s">
        <v>58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</row>
    <row r="44" spans="1:17">
      <c r="A44" s="37" t="s">
        <v>0</v>
      </c>
      <c r="B44" s="37" t="s">
        <v>1</v>
      </c>
      <c r="C44" s="37" t="s">
        <v>2</v>
      </c>
      <c r="D44" s="40" t="s">
        <v>3</v>
      </c>
      <c r="E44" s="41"/>
      <c r="F44" s="42"/>
      <c r="G44" s="37" t="s">
        <v>16</v>
      </c>
      <c r="H44" s="40" t="s">
        <v>7</v>
      </c>
      <c r="I44" s="41"/>
      <c r="J44" s="41"/>
      <c r="K44" s="41"/>
      <c r="L44" s="41"/>
      <c r="M44" s="42"/>
      <c r="N44" s="40" t="s">
        <v>19</v>
      </c>
      <c r="O44" s="41"/>
      <c r="P44" s="41"/>
      <c r="Q44" s="42"/>
    </row>
    <row r="45" spans="1:17" ht="45.75" customHeight="1">
      <c r="A45" s="39"/>
      <c r="B45" s="39"/>
      <c r="C45" s="39"/>
      <c r="D45" s="7" t="s">
        <v>4</v>
      </c>
      <c r="E45" s="8" t="s">
        <v>5</v>
      </c>
      <c r="F45" s="8" t="s">
        <v>6</v>
      </c>
      <c r="G45" s="39"/>
      <c r="H45" s="6" t="s">
        <v>8</v>
      </c>
      <c r="I45" s="6" t="s">
        <v>9</v>
      </c>
      <c r="J45" s="6" t="s">
        <v>10</v>
      </c>
      <c r="K45" s="30" t="s">
        <v>93</v>
      </c>
      <c r="L45" s="30" t="s">
        <v>94</v>
      </c>
      <c r="M45" s="6" t="s">
        <v>11</v>
      </c>
      <c r="N45" s="6" t="s">
        <v>12</v>
      </c>
      <c r="O45" s="6" t="s">
        <v>13</v>
      </c>
      <c r="P45" s="6" t="s">
        <v>14</v>
      </c>
      <c r="Q45" s="6" t="s">
        <v>15</v>
      </c>
    </row>
    <row r="46" spans="1:17" ht="15.75">
      <c r="A46" s="1"/>
      <c r="B46" s="33" t="s">
        <v>17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5"/>
    </row>
    <row r="47" spans="1:17" ht="30" customHeight="1">
      <c r="A47" s="3" t="s">
        <v>78</v>
      </c>
      <c r="B47" s="4" t="s">
        <v>23</v>
      </c>
      <c r="C47" s="21">
        <v>250</v>
      </c>
      <c r="D47" s="21">
        <v>49.43</v>
      </c>
      <c r="E47" s="21">
        <v>17.79</v>
      </c>
      <c r="F47" s="21">
        <v>36.06</v>
      </c>
      <c r="G47" s="21">
        <v>502.1</v>
      </c>
      <c r="H47" s="21">
        <v>373</v>
      </c>
      <c r="I47" s="21">
        <v>56</v>
      </c>
      <c r="J47" s="21">
        <v>484</v>
      </c>
      <c r="K47" s="21">
        <v>48.04</v>
      </c>
      <c r="L47" s="21">
        <v>65.2</v>
      </c>
      <c r="M47" s="21">
        <v>1.2</v>
      </c>
      <c r="N47" s="21">
        <v>0.1</v>
      </c>
      <c r="O47" s="21">
        <v>0.54</v>
      </c>
      <c r="P47" s="21">
        <v>0</v>
      </c>
      <c r="Q47" s="21">
        <v>0</v>
      </c>
    </row>
    <row r="48" spans="1:17" s="16" customFormat="1" ht="15.75" customHeight="1">
      <c r="A48" s="17" t="s">
        <v>24</v>
      </c>
      <c r="B48" s="6" t="s">
        <v>50</v>
      </c>
      <c r="C48" s="15">
        <v>30</v>
      </c>
      <c r="D48" s="15">
        <v>2.2799999999999998</v>
      </c>
      <c r="E48" s="15">
        <v>0.24</v>
      </c>
      <c r="F48" s="15">
        <v>14.76</v>
      </c>
      <c r="G48" s="15">
        <v>70.3</v>
      </c>
      <c r="H48" s="15">
        <v>5.7</v>
      </c>
      <c r="I48" s="15">
        <v>3.9</v>
      </c>
      <c r="J48" s="15">
        <v>19.5</v>
      </c>
      <c r="K48" s="15">
        <v>0</v>
      </c>
      <c r="L48" s="15">
        <v>0</v>
      </c>
      <c r="M48" s="15">
        <v>0.36</v>
      </c>
      <c r="N48" s="15">
        <v>3.3000000000000002E-2</v>
      </c>
      <c r="O48" s="15">
        <v>8.9999999999999993E-3</v>
      </c>
      <c r="P48" s="15">
        <v>0.27</v>
      </c>
      <c r="Q48" s="15">
        <v>0</v>
      </c>
    </row>
    <row r="49" spans="1:17" s="16" customFormat="1" ht="33" customHeight="1">
      <c r="A49" s="17" t="s">
        <v>80</v>
      </c>
      <c r="B49" s="6" t="s">
        <v>81</v>
      </c>
      <c r="C49" s="15">
        <v>200</v>
      </c>
      <c r="D49" s="15">
        <v>0.2</v>
      </c>
      <c r="E49" s="15">
        <v>0</v>
      </c>
      <c r="F49" s="15">
        <v>0.1</v>
      </c>
      <c r="G49" s="15">
        <v>1</v>
      </c>
      <c r="H49" s="15">
        <v>4</v>
      </c>
      <c r="I49" s="15">
        <v>4</v>
      </c>
      <c r="J49" s="15">
        <v>7</v>
      </c>
      <c r="K49" s="15">
        <v>0</v>
      </c>
      <c r="L49" s="15">
        <v>0</v>
      </c>
      <c r="M49" s="15">
        <v>1</v>
      </c>
      <c r="N49" s="15">
        <v>0</v>
      </c>
      <c r="O49" s="15">
        <v>0.01</v>
      </c>
      <c r="P49" s="15">
        <v>0.06</v>
      </c>
      <c r="Q49" s="15">
        <v>0</v>
      </c>
    </row>
    <row r="50" spans="1:17" s="16" customFormat="1" ht="18.75" customHeight="1">
      <c r="A50" s="29" t="s">
        <v>24</v>
      </c>
      <c r="B50" s="5" t="s">
        <v>115</v>
      </c>
      <c r="C50" s="15">
        <v>100</v>
      </c>
      <c r="D50" s="15">
        <v>0.3</v>
      </c>
      <c r="E50" s="15">
        <v>0.3</v>
      </c>
      <c r="F50" s="15">
        <v>10</v>
      </c>
      <c r="G50" s="15">
        <v>44.4</v>
      </c>
      <c r="H50" s="15">
        <v>12</v>
      </c>
      <c r="I50" s="15">
        <v>6.75</v>
      </c>
      <c r="J50" s="15">
        <v>8.25</v>
      </c>
      <c r="K50" s="15">
        <v>0</v>
      </c>
      <c r="L50" s="15">
        <v>0</v>
      </c>
      <c r="M50" s="15">
        <v>1.65</v>
      </c>
      <c r="N50" s="15">
        <v>2.2499999999999999E-2</v>
      </c>
      <c r="O50" s="15">
        <v>1.4999999999999999E-2</v>
      </c>
      <c r="P50" s="15">
        <v>0.22500000000000001</v>
      </c>
      <c r="Q50" s="15">
        <v>7.5</v>
      </c>
    </row>
    <row r="51" spans="1:17" s="16" customFormat="1" ht="30" customHeight="1">
      <c r="A51" s="17" t="s">
        <v>72</v>
      </c>
      <c r="B51" s="5" t="s">
        <v>51</v>
      </c>
      <c r="C51" s="15">
        <v>10</v>
      </c>
      <c r="D51" s="15">
        <v>0.1</v>
      </c>
      <c r="E51" s="15">
        <v>8.3000000000000007</v>
      </c>
      <c r="F51" s="15">
        <v>0.1</v>
      </c>
      <c r="G51" s="15">
        <v>66</v>
      </c>
      <c r="H51" s="15">
        <v>2</v>
      </c>
      <c r="I51" s="15">
        <v>0</v>
      </c>
      <c r="J51" s="15">
        <v>2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0.01</v>
      </c>
      <c r="Q51" s="15">
        <v>0</v>
      </c>
    </row>
    <row r="52" spans="1:17" ht="15.75">
      <c r="A52" s="2"/>
      <c r="B52" s="11" t="s">
        <v>18</v>
      </c>
      <c r="C52" s="9">
        <f>SUM(C47:C51)</f>
        <v>590</v>
      </c>
      <c r="D52" s="9">
        <f>SUM(D47:D51)</f>
        <v>52.31</v>
      </c>
      <c r="E52" s="9">
        <f t="shared" ref="E52:Q52" si="4">SUM(E47:E51)</f>
        <v>26.63</v>
      </c>
      <c r="F52" s="9">
        <f t="shared" si="4"/>
        <v>61.02</v>
      </c>
      <c r="G52" s="9">
        <f t="shared" si="4"/>
        <v>683.8</v>
      </c>
      <c r="H52" s="9">
        <f t="shared" si="4"/>
        <v>396.7</v>
      </c>
      <c r="I52" s="9">
        <f t="shared" si="4"/>
        <v>70.650000000000006</v>
      </c>
      <c r="J52" s="9">
        <f t="shared" si="4"/>
        <v>520.75</v>
      </c>
      <c r="K52" s="9">
        <f t="shared" si="4"/>
        <v>48.04</v>
      </c>
      <c r="L52" s="9">
        <f t="shared" si="4"/>
        <v>65.2</v>
      </c>
      <c r="M52" s="9">
        <f t="shared" si="4"/>
        <v>4.21</v>
      </c>
      <c r="N52" s="9">
        <f t="shared" si="4"/>
        <v>0.1555</v>
      </c>
      <c r="O52" s="9">
        <f t="shared" si="4"/>
        <v>0.57400000000000007</v>
      </c>
      <c r="P52" s="9">
        <f t="shared" si="4"/>
        <v>0.56500000000000006</v>
      </c>
      <c r="Q52" s="9">
        <f t="shared" si="4"/>
        <v>7.5</v>
      </c>
    </row>
    <row r="54" spans="1:17" s="14" customFormat="1" ht="15.75">
      <c r="A54" s="36" t="s">
        <v>59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1:17">
      <c r="A55" s="37" t="s">
        <v>0</v>
      </c>
      <c r="B55" s="37" t="s">
        <v>1</v>
      </c>
      <c r="C55" s="37" t="s">
        <v>2</v>
      </c>
      <c r="D55" s="40" t="s">
        <v>3</v>
      </c>
      <c r="E55" s="41"/>
      <c r="F55" s="42"/>
      <c r="G55" s="37" t="s">
        <v>16</v>
      </c>
      <c r="H55" s="40" t="s">
        <v>7</v>
      </c>
      <c r="I55" s="41"/>
      <c r="J55" s="41"/>
      <c r="K55" s="41"/>
      <c r="L55" s="41"/>
      <c r="M55" s="42"/>
      <c r="N55" s="40" t="s">
        <v>19</v>
      </c>
      <c r="O55" s="41"/>
      <c r="P55" s="41"/>
      <c r="Q55" s="42"/>
    </row>
    <row r="56" spans="1:17" ht="45.75" customHeight="1">
      <c r="A56" s="39"/>
      <c r="B56" s="39"/>
      <c r="C56" s="39"/>
      <c r="D56" s="7" t="s">
        <v>4</v>
      </c>
      <c r="E56" s="8" t="s">
        <v>5</v>
      </c>
      <c r="F56" s="8" t="s">
        <v>6</v>
      </c>
      <c r="G56" s="39"/>
      <c r="H56" s="6" t="s">
        <v>8</v>
      </c>
      <c r="I56" s="6" t="s">
        <v>9</v>
      </c>
      <c r="J56" s="6" t="s">
        <v>10</v>
      </c>
      <c r="K56" s="30" t="s">
        <v>93</v>
      </c>
      <c r="L56" s="30" t="s">
        <v>94</v>
      </c>
      <c r="M56" s="6" t="s">
        <v>11</v>
      </c>
      <c r="N56" s="6" t="s">
        <v>12</v>
      </c>
      <c r="O56" s="6" t="s">
        <v>13</v>
      </c>
      <c r="P56" s="6" t="s">
        <v>14</v>
      </c>
      <c r="Q56" s="6" t="s">
        <v>15</v>
      </c>
    </row>
    <row r="57" spans="1:17" ht="15.75">
      <c r="A57" s="1"/>
      <c r="B57" s="33" t="s">
        <v>17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5"/>
    </row>
    <row r="58" spans="1:17" ht="31.5">
      <c r="A58" s="3" t="s">
        <v>76</v>
      </c>
      <c r="B58" s="4" t="s">
        <v>60</v>
      </c>
      <c r="C58" s="21">
        <v>200</v>
      </c>
      <c r="D58" s="21">
        <v>3.6</v>
      </c>
      <c r="E58" s="21">
        <v>5.2</v>
      </c>
      <c r="F58" s="21">
        <v>38.1</v>
      </c>
      <c r="G58" s="21">
        <v>272</v>
      </c>
      <c r="H58" s="21">
        <v>14</v>
      </c>
      <c r="I58" s="21">
        <v>10</v>
      </c>
      <c r="J58" s="21">
        <v>47</v>
      </c>
      <c r="K58" s="21">
        <v>20</v>
      </c>
      <c r="L58" s="21">
        <v>7.3</v>
      </c>
      <c r="M58" s="21">
        <v>1</v>
      </c>
      <c r="N58" s="21">
        <v>0</v>
      </c>
      <c r="O58" s="21">
        <v>0</v>
      </c>
      <c r="P58" s="21">
        <v>0.7</v>
      </c>
      <c r="Q58" s="21">
        <v>0</v>
      </c>
    </row>
    <row r="59" spans="1:17" ht="33.75" customHeight="1">
      <c r="A59" s="17" t="s">
        <v>132</v>
      </c>
      <c r="B59" s="6" t="s">
        <v>97</v>
      </c>
      <c r="C59" s="9">
        <v>100</v>
      </c>
      <c r="D59" s="9">
        <v>13.09</v>
      </c>
      <c r="E59" s="9">
        <v>7.52</v>
      </c>
      <c r="F59" s="9">
        <v>2.89</v>
      </c>
      <c r="G59" s="9">
        <v>131.6</v>
      </c>
      <c r="H59" s="9">
        <v>68</v>
      </c>
      <c r="I59" s="9">
        <v>44</v>
      </c>
      <c r="J59" s="9">
        <v>202</v>
      </c>
      <c r="K59" s="9">
        <v>133.47999999999999</v>
      </c>
      <c r="L59" s="9">
        <v>11.9</v>
      </c>
      <c r="M59" s="9">
        <v>0.7</v>
      </c>
      <c r="N59" s="9">
        <v>0.08</v>
      </c>
      <c r="O59" s="9">
        <v>0.11</v>
      </c>
      <c r="P59" s="9">
        <v>0</v>
      </c>
      <c r="Q59" s="9">
        <v>1</v>
      </c>
    </row>
    <row r="60" spans="1:17" s="16" customFormat="1" ht="15.75" customHeight="1">
      <c r="A60" s="17" t="s">
        <v>24</v>
      </c>
      <c r="B60" s="6" t="s">
        <v>50</v>
      </c>
      <c r="C60" s="15">
        <v>30</v>
      </c>
      <c r="D60" s="15">
        <v>2.2799999999999998</v>
      </c>
      <c r="E60" s="15">
        <v>0.24</v>
      </c>
      <c r="F60" s="15">
        <v>14.76</v>
      </c>
      <c r="G60" s="15">
        <v>70.3</v>
      </c>
      <c r="H60" s="15">
        <v>5.7</v>
      </c>
      <c r="I60" s="15">
        <v>3.9</v>
      </c>
      <c r="J60" s="15">
        <v>19.5</v>
      </c>
      <c r="K60" s="15">
        <v>0</v>
      </c>
      <c r="L60" s="15">
        <v>0</v>
      </c>
      <c r="M60" s="15">
        <v>0.36</v>
      </c>
      <c r="N60" s="15">
        <v>3.3000000000000002E-2</v>
      </c>
      <c r="O60" s="15">
        <v>8.9999999999999993E-3</v>
      </c>
      <c r="P60" s="15">
        <v>0.27</v>
      </c>
      <c r="Q60" s="15">
        <v>0</v>
      </c>
    </row>
    <row r="61" spans="1:17" ht="33" customHeight="1">
      <c r="A61" s="29" t="s">
        <v>87</v>
      </c>
      <c r="B61" s="5" t="s">
        <v>21</v>
      </c>
      <c r="C61" s="15">
        <v>200</v>
      </c>
      <c r="D61" s="15">
        <v>4.5999999999999996</v>
      </c>
      <c r="E61" s="15">
        <v>4.3</v>
      </c>
      <c r="F61" s="15">
        <v>12.4</v>
      </c>
      <c r="G61" s="15">
        <v>100.4</v>
      </c>
      <c r="H61" s="15">
        <v>144</v>
      </c>
      <c r="I61" s="15">
        <v>34</v>
      </c>
      <c r="J61" s="15">
        <v>131</v>
      </c>
      <c r="K61" s="15">
        <v>11.7</v>
      </c>
      <c r="L61" s="15">
        <v>2.2999999999999998</v>
      </c>
      <c r="M61" s="15">
        <v>1</v>
      </c>
      <c r="N61" s="15">
        <v>0</v>
      </c>
      <c r="O61" s="15">
        <v>0.2</v>
      </c>
      <c r="P61" s="15">
        <v>0.2</v>
      </c>
      <c r="Q61" s="15">
        <v>1</v>
      </c>
    </row>
    <row r="62" spans="1:17" s="16" customFormat="1" ht="34.5" customHeight="1">
      <c r="A62" s="3" t="s">
        <v>122</v>
      </c>
      <c r="B62" s="5" t="s">
        <v>126</v>
      </c>
      <c r="C62" s="9">
        <v>100</v>
      </c>
      <c r="D62" s="9">
        <v>0.91</v>
      </c>
      <c r="E62" s="9">
        <v>10.17</v>
      </c>
      <c r="F62" s="9">
        <v>7.15</v>
      </c>
      <c r="G62" s="9">
        <v>123.8</v>
      </c>
      <c r="H62" s="9">
        <v>22</v>
      </c>
      <c r="I62" s="9">
        <v>26</v>
      </c>
      <c r="J62" s="9">
        <v>37</v>
      </c>
      <c r="K62" s="9">
        <v>16.98</v>
      </c>
      <c r="L62" s="9">
        <v>0.2</v>
      </c>
      <c r="M62" s="9">
        <v>1.1000000000000001</v>
      </c>
      <c r="N62" s="9">
        <v>0.05</v>
      </c>
      <c r="O62" s="9">
        <v>0.05</v>
      </c>
      <c r="P62" s="9">
        <v>0</v>
      </c>
      <c r="Q62" s="9">
        <v>6</v>
      </c>
    </row>
    <row r="63" spans="1:17" ht="15.75">
      <c r="A63" s="2"/>
      <c r="B63" s="11" t="s">
        <v>18</v>
      </c>
      <c r="C63" s="9">
        <f>SUM(C58:C62)</f>
        <v>630</v>
      </c>
      <c r="D63" s="9">
        <f t="shared" ref="D63:Q63" si="5">SUM(D58:D62)</f>
        <v>24.48</v>
      </c>
      <c r="E63" s="9">
        <f t="shared" si="5"/>
        <v>27.43</v>
      </c>
      <c r="F63" s="9">
        <f t="shared" si="5"/>
        <v>75.300000000000011</v>
      </c>
      <c r="G63" s="9">
        <f t="shared" si="5"/>
        <v>698.1</v>
      </c>
      <c r="H63" s="9">
        <f t="shared" si="5"/>
        <v>253.7</v>
      </c>
      <c r="I63" s="9">
        <f t="shared" si="5"/>
        <v>117.9</v>
      </c>
      <c r="J63" s="9">
        <f t="shared" si="5"/>
        <v>436.5</v>
      </c>
      <c r="K63" s="9">
        <f t="shared" si="5"/>
        <v>182.15999999999997</v>
      </c>
      <c r="L63" s="9">
        <f t="shared" si="5"/>
        <v>21.7</v>
      </c>
      <c r="M63" s="9">
        <f t="shared" si="5"/>
        <v>4.16</v>
      </c>
      <c r="N63" s="9">
        <f t="shared" si="5"/>
        <v>0.16300000000000001</v>
      </c>
      <c r="O63" s="9">
        <f t="shared" si="5"/>
        <v>0.36899999999999999</v>
      </c>
      <c r="P63" s="9">
        <f t="shared" si="5"/>
        <v>1.17</v>
      </c>
      <c r="Q63" s="9">
        <f t="shared" si="5"/>
        <v>8</v>
      </c>
    </row>
    <row r="64" spans="1:17" ht="15.75">
      <c r="A64" s="13"/>
      <c r="B64" s="3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ht="15.75">
      <c r="A65" s="13"/>
      <c r="B65" s="3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ht="15.75">
      <c r="A66" s="13"/>
      <c r="B66" s="3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ht="15.75">
      <c r="A67" s="13"/>
      <c r="B67" s="3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ht="15.75">
      <c r="A68" s="13"/>
      <c r="B68" s="3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s="14" customFormat="1" ht="15.75">
      <c r="A69" s="36" t="s">
        <v>61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</row>
    <row r="70" spans="1:17">
      <c r="A70" s="37" t="s">
        <v>0</v>
      </c>
      <c r="B70" s="37" t="s">
        <v>1</v>
      </c>
      <c r="C70" s="37" t="s">
        <v>2</v>
      </c>
      <c r="D70" s="40" t="s">
        <v>3</v>
      </c>
      <c r="E70" s="41"/>
      <c r="F70" s="42"/>
      <c r="G70" s="37" t="s">
        <v>16</v>
      </c>
      <c r="H70" s="40" t="s">
        <v>7</v>
      </c>
      <c r="I70" s="41"/>
      <c r="J70" s="41"/>
      <c r="K70" s="41"/>
      <c r="L70" s="41"/>
      <c r="M70" s="42"/>
      <c r="N70" s="40" t="s">
        <v>19</v>
      </c>
      <c r="O70" s="41"/>
      <c r="P70" s="41"/>
      <c r="Q70" s="42"/>
    </row>
    <row r="71" spans="1:17" ht="45.75" customHeight="1">
      <c r="A71" s="39"/>
      <c r="B71" s="39"/>
      <c r="C71" s="39"/>
      <c r="D71" s="7" t="s">
        <v>4</v>
      </c>
      <c r="E71" s="8" t="s">
        <v>5</v>
      </c>
      <c r="F71" s="8" t="s">
        <v>6</v>
      </c>
      <c r="G71" s="39"/>
      <c r="H71" s="6" t="s">
        <v>8</v>
      </c>
      <c r="I71" s="6" t="s">
        <v>9</v>
      </c>
      <c r="J71" s="6" t="s">
        <v>10</v>
      </c>
      <c r="K71" s="30" t="s">
        <v>93</v>
      </c>
      <c r="L71" s="30" t="s">
        <v>94</v>
      </c>
      <c r="M71" s="6" t="s">
        <v>11</v>
      </c>
      <c r="N71" s="6" t="s">
        <v>12</v>
      </c>
      <c r="O71" s="6" t="s">
        <v>13</v>
      </c>
      <c r="P71" s="6" t="s">
        <v>14</v>
      </c>
      <c r="Q71" s="6" t="s">
        <v>15</v>
      </c>
    </row>
    <row r="72" spans="1:17" ht="15.75">
      <c r="A72" s="1"/>
      <c r="B72" s="33" t="s">
        <v>17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5"/>
    </row>
    <row r="73" spans="1:17" ht="31.5">
      <c r="A73" s="3" t="s">
        <v>73</v>
      </c>
      <c r="B73" s="4" t="s">
        <v>62</v>
      </c>
      <c r="C73" s="21">
        <v>215</v>
      </c>
      <c r="D73" s="21">
        <v>8.94</v>
      </c>
      <c r="E73" s="21">
        <v>10.88</v>
      </c>
      <c r="F73" s="21">
        <v>40.47</v>
      </c>
      <c r="G73" s="21">
        <v>295.60000000000002</v>
      </c>
      <c r="H73" s="21">
        <v>153</v>
      </c>
      <c r="I73" s="21">
        <v>53</v>
      </c>
      <c r="J73" s="21">
        <v>201</v>
      </c>
      <c r="K73" s="21">
        <v>55.48</v>
      </c>
      <c r="L73" s="21">
        <v>3.4</v>
      </c>
      <c r="M73" s="21">
        <v>1.4</v>
      </c>
      <c r="N73" s="21">
        <v>0.19</v>
      </c>
      <c r="O73" s="21">
        <v>0.16</v>
      </c>
      <c r="P73" s="21">
        <v>0</v>
      </c>
      <c r="Q73" s="21">
        <v>1</v>
      </c>
    </row>
    <row r="74" spans="1:17" ht="31.5">
      <c r="A74" s="3" t="s">
        <v>71</v>
      </c>
      <c r="B74" s="4" t="s">
        <v>54</v>
      </c>
      <c r="C74" s="21">
        <v>30</v>
      </c>
      <c r="D74" s="21">
        <v>7.02</v>
      </c>
      <c r="E74" s="21">
        <v>9</v>
      </c>
      <c r="F74" s="21">
        <v>0</v>
      </c>
      <c r="G74" s="21">
        <v>109.1</v>
      </c>
      <c r="H74" s="21">
        <v>300</v>
      </c>
      <c r="I74" s="21">
        <v>14</v>
      </c>
      <c r="J74" s="21">
        <v>163</v>
      </c>
      <c r="K74" s="21">
        <v>0</v>
      </c>
      <c r="L74" s="21">
        <v>0</v>
      </c>
      <c r="M74" s="21">
        <v>0</v>
      </c>
      <c r="N74" s="21">
        <v>0.01</v>
      </c>
      <c r="O74" s="21">
        <v>0.09</v>
      </c>
      <c r="P74" s="21">
        <v>0.09</v>
      </c>
      <c r="Q74" s="21">
        <v>0</v>
      </c>
    </row>
    <row r="75" spans="1:17" s="16" customFormat="1" ht="30" customHeight="1">
      <c r="A75" s="3" t="s">
        <v>82</v>
      </c>
      <c r="B75" s="5" t="s">
        <v>52</v>
      </c>
      <c r="C75" s="9">
        <v>200</v>
      </c>
      <c r="D75" s="9">
        <v>0.2</v>
      </c>
      <c r="E75" s="9">
        <v>0</v>
      </c>
      <c r="F75" s="9">
        <v>6.4</v>
      </c>
      <c r="G75" s="9">
        <v>26.4</v>
      </c>
      <c r="H75" s="9">
        <v>4</v>
      </c>
      <c r="I75" s="9">
        <v>4</v>
      </c>
      <c r="J75" s="9">
        <v>7</v>
      </c>
      <c r="K75" s="9">
        <v>0</v>
      </c>
      <c r="L75" s="9">
        <v>0</v>
      </c>
      <c r="M75" s="9">
        <v>1</v>
      </c>
      <c r="N75" s="9">
        <v>0</v>
      </c>
      <c r="O75" s="9">
        <v>0</v>
      </c>
      <c r="P75" s="9">
        <v>0.1</v>
      </c>
      <c r="Q75" s="9">
        <v>0</v>
      </c>
    </row>
    <row r="76" spans="1:17" s="16" customFormat="1" ht="15.75" customHeight="1">
      <c r="A76" s="17" t="s">
        <v>24</v>
      </c>
      <c r="B76" s="6" t="s">
        <v>50</v>
      </c>
      <c r="C76" s="15">
        <v>30</v>
      </c>
      <c r="D76" s="15">
        <v>2.2799999999999998</v>
      </c>
      <c r="E76" s="15">
        <v>0.24</v>
      </c>
      <c r="F76" s="15">
        <v>14.76</v>
      </c>
      <c r="G76" s="15">
        <v>70.3</v>
      </c>
      <c r="H76" s="15">
        <v>5.7</v>
      </c>
      <c r="I76" s="15">
        <v>3.9</v>
      </c>
      <c r="J76" s="15">
        <v>19.5</v>
      </c>
      <c r="K76" s="15">
        <v>0</v>
      </c>
      <c r="L76" s="15">
        <v>0</v>
      </c>
      <c r="M76" s="15">
        <v>0.36</v>
      </c>
      <c r="N76" s="15">
        <v>3.3000000000000002E-2</v>
      </c>
      <c r="O76" s="15">
        <v>8.9999999999999993E-3</v>
      </c>
      <c r="P76" s="15">
        <v>0.27</v>
      </c>
      <c r="Q76" s="15">
        <v>0</v>
      </c>
    </row>
    <row r="77" spans="1:17" ht="16.5" customHeight="1">
      <c r="A77" s="3" t="s">
        <v>24</v>
      </c>
      <c r="B77" s="5" t="s">
        <v>115</v>
      </c>
      <c r="C77" s="9">
        <v>100</v>
      </c>
      <c r="D77" s="9">
        <v>0.8</v>
      </c>
      <c r="E77" s="9">
        <v>0.2</v>
      </c>
      <c r="F77" s="9">
        <v>8</v>
      </c>
      <c r="G77" s="9">
        <v>35</v>
      </c>
      <c r="H77" s="9">
        <v>35</v>
      </c>
      <c r="I77" s="9">
        <v>11</v>
      </c>
      <c r="J77" s="9">
        <v>17</v>
      </c>
      <c r="K77" s="9">
        <v>0.3</v>
      </c>
      <c r="L77" s="9">
        <v>0.1</v>
      </c>
      <c r="M77" s="9">
        <v>0.1</v>
      </c>
      <c r="N77" s="9">
        <v>0.06</v>
      </c>
      <c r="O77" s="9">
        <v>0.03</v>
      </c>
      <c r="P77" s="9">
        <v>0</v>
      </c>
      <c r="Q77" s="9">
        <v>38</v>
      </c>
    </row>
    <row r="78" spans="1:17" ht="15.75">
      <c r="A78" s="2"/>
      <c r="B78" s="11" t="s">
        <v>18</v>
      </c>
      <c r="C78" s="9">
        <f>SUM(C73:C77)</f>
        <v>575</v>
      </c>
      <c r="D78" s="9">
        <f>SUM(D73:D77)</f>
        <v>19.240000000000002</v>
      </c>
      <c r="E78" s="9">
        <f t="shared" ref="E78:Q78" si="6">SUM(E73:E77)</f>
        <v>20.32</v>
      </c>
      <c r="F78" s="9">
        <f t="shared" si="6"/>
        <v>69.63</v>
      </c>
      <c r="G78" s="9">
        <f t="shared" si="6"/>
        <v>536.40000000000009</v>
      </c>
      <c r="H78" s="9">
        <f t="shared" si="6"/>
        <v>497.7</v>
      </c>
      <c r="I78" s="9">
        <f t="shared" si="6"/>
        <v>85.9</v>
      </c>
      <c r="J78" s="9">
        <f t="shared" si="6"/>
        <v>407.5</v>
      </c>
      <c r="K78" s="9">
        <f t="shared" si="6"/>
        <v>55.779999999999994</v>
      </c>
      <c r="L78" s="9">
        <f t="shared" si="6"/>
        <v>3.5</v>
      </c>
      <c r="M78" s="9">
        <f t="shared" si="6"/>
        <v>2.86</v>
      </c>
      <c r="N78" s="9">
        <f t="shared" si="6"/>
        <v>0.29300000000000004</v>
      </c>
      <c r="O78" s="9">
        <f t="shared" si="6"/>
        <v>0.28900000000000003</v>
      </c>
      <c r="P78" s="9">
        <f t="shared" si="6"/>
        <v>0.46</v>
      </c>
      <c r="Q78" s="9">
        <f t="shared" si="6"/>
        <v>39</v>
      </c>
    </row>
    <row r="80" spans="1:17" s="14" customFormat="1" ht="15.75">
      <c r="A80" s="36" t="s">
        <v>64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</row>
    <row r="81" spans="1:17">
      <c r="A81" s="37" t="s">
        <v>0</v>
      </c>
      <c r="B81" s="37" t="s">
        <v>1</v>
      </c>
      <c r="C81" s="37" t="s">
        <v>2</v>
      </c>
      <c r="D81" s="40" t="s">
        <v>3</v>
      </c>
      <c r="E81" s="41"/>
      <c r="F81" s="42"/>
      <c r="G81" s="37" t="s">
        <v>16</v>
      </c>
      <c r="H81" s="40" t="s">
        <v>7</v>
      </c>
      <c r="I81" s="41"/>
      <c r="J81" s="41"/>
      <c r="K81" s="41"/>
      <c r="L81" s="41"/>
      <c r="M81" s="42"/>
      <c r="N81" s="40" t="s">
        <v>19</v>
      </c>
      <c r="O81" s="41"/>
      <c r="P81" s="41"/>
      <c r="Q81" s="42"/>
    </row>
    <row r="82" spans="1:17" ht="45.75" customHeight="1">
      <c r="A82" s="39"/>
      <c r="B82" s="39"/>
      <c r="C82" s="39"/>
      <c r="D82" s="7" t="s">
        <v>4</v>
      </c>
      <c r="E82" s="8" t="s">
        <v>5</v>
      </c>
      <c r="F82" s="8" t="s">
        <v>6</v>
      </c>
      <c r="G82" s="39"/>
      <c r="H82" s="6" t="s">
        <v>8</v>
      </c>
      <c r="I82" s="6" t="s">
        <v>9</v>
      </c>
      <c r="J82" s="6" t="s">
        <v>10</v>
      </c>
      <c r="K82" s="30" t="s">
        <v>93</v>
      </c>
      <c r="L82" s="30" t="s">
        <v>94</v>
      </c>
      <c r="M82" s="6" t="s">
        <v>11</v>
      </c>
      <c r="N82" s="6" t="s">
        <v>12</v>
      </c>
      <c r="O82" s="6" t="s">
        <v>13</v>
      </c>
      <c r="P82" s="6" t="s">
        <v>14</v>
      </c>
      <c r="Q82" s="6" t="s">
        <v>15</v>
      </c>
    </row>
    <row r="83" spans="1:17" ht="15.75">
      <c r="A83" s="1"/>
      <c r="B83" s="33" t="s">
        <v>17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5"/>
    </row>
    <row r="84" spans="1:17" ht="31.5">
      <c r="A84" s="3" t="s">
        <v>70</v>
      </c>
      <c r="B84" s="4" t="s">
        <v>69</v>
      </c>
      <c r="C84" s="9">
        <v>250</v>
      </c>
      <c r="D84" s="9">
        <v>34</v>
      </c>
      <c r="E84" s="9">
        <v>10</v>
      </c>
      <c r="F84" s="9">
        <v>42</v>
      </c>
      <c r="G84" s="9">
        <v>393</v>
      </c>
      <c r="H84" s="9">
        <f>29*250/200</f>
        <v>36.25</v>
      </c>
      <c r="I84" s="9">
        <f>93*250/200</f>
        <v>116.25</v>
      </c>
      <c r="J84" s="9">
        <f>212*250/200</f>
        <v>265</v>
      </c>
      <c r="K84" s="9">
        <f>23.1*250/200</f>
        <v>28.875</v>
      </c>
      <c r="L84" s="9">
        <f>27.5*250/200</f>
        <v>34.375</v>
      </c>
      <c r="M84" s="9">
        <f>2*250/200</f>
        <v>2.5</v>
      </c>
      <c r="N84" s="9">
        <f>0.08*250/200</f>
        <v>0.1</v>
      </c>
      <c r="O84" s="9">
        <f>0.08*250/200</f>
        <v>0.1</v>
      </c>
      <c r="P84" s="9">
        <f>7.3*250/200</f>
        <v>9.125</v>
      </c>
      <c r="Q84" s="9">
        <f>2*250/200</f>
        <v>2.5</v>
      </c>
    </row>
    <row r="85" spans="1:17" s="16" customFormat="1" ht="15.75" customHeight="1">
      <c r="A85" s="17" t="s">
        <v>24</v>
      </c>
      <c r="B85" s="6" t="s">
        <v>50</v>
      </c>
      <c r="C85" s="15">
        <v>30</v>
      </c>
      <c r="D85" s="15">
        <v>2.2799999999999998</v>
      </c>
      <c r="E85" s="15">
        <v>0.24</v>
      </c>
      <c r="F85" s="15">
        <v>14.76</v>
      </c>
      <c r="G85" s="15">
        <v>70.3</v>
      </c>
      <c r="H85" s="15">
        <v>5.7</v>
      </c>
      <c r="I85" s="15">
        <v>3.9</v>
      </c>
      <c r="J85" s="15">
        <v>19.5</v>
      </c>
      <c r="K85" s="15">
        <v>0</v>
      </c>
      <c r="L85" s="15">
        <v>0</v>
      </c>
      <c r="M85" s="15">
        <v>0.36</v>
      </c>
      <c r="N85" s="15">
        <v>3.3000000000000002E-2</v>
      </c>
      <c r="O85" s="15">
        <v>8.9999999999999993E-3</v>
      </c>
      <c r="P85" s="15">
        <v>0.27</v>
      </c>
      <c r="Q85" s="15">
        <v>0</v>
      </c>
    </row>
    <row r="86" spans="1:17" s="16" customFormat="1" ht="53.25" customHeight="1">
      <c r="A86" s="17" t="s">
        <v>131</v>
      </c>
      <c r="B86" s="6" t="s">
        <v>125</v>
      </c>
      <c r="C86" s="15">
        <v>100</v>
      </c>
      <c r="D86" s="15">
        <v>1.64</v>
      </c>
      <c r="E86" s="15">
        <v>10.08</v>
      </c>
      <c r="F86" s="15">
        <v>9.64</v>
      </c>
      <c r="G86" s="15">
        <v>136</v>
      </c>
      <c r="H86" s="15">
        <v>46</v>
      </c>
      <c r="I86" s="15">
        <v>17</v>
      </c>
      <c r="J86" s="15">
        <v>32</v>
      </c>
      <c r="K86" s="15">
        <v>16.350000000000001</v>
      </c>
      <c r="L86" s="15">
        <v>0.3</v>
      </c>
      <c r="M86" s="15">
        <v>0.6</v>
      </c>
      <c r="N86" s="15">
        <v>0.04</v>
      </c>
      <c r="O86" s="15">
        <v>0.04</v>
      </c>
      <c r="P86" s="15">
        <v>0</v>
      </c>
      <c r="Q86" s="15">
        <v>39</v>
      </c>
    </row>
    <row r="87" spans="1:17" ht="17.25" customHeight="1">
      <c r="A87" s="3" t="s">
        <v>24</v>
      </c>
      <c r="B87" s="5" t="s">
        <v>65</v>
      </c>
      <c r="C87" s="9">
        <v>30</v>
      </c>
      <c r="D87" s="9">
        <v>0.1</v>
      </c>
      <c r="E87" s="9">
        <v>0</v>
      </c>
      <c r="F87" s="9">
        <v>19.5</v>
      </c>
      <c r="G87" s="9">
        <v>77</v>
      </c>
      <c r="H87" s="9">
        <v>4</v>
      </c>
      <c r="I87" s="9">
        <v>2</v>
      </c>
      <c r="J87" s="9">
        <v>3</v>
      </c>
      <c r="K87" s="9">
        <v>0</v>
      </c>
      <c r="L87" s="9">
        <v>0</v>
      </c>
      <c r="M87" s="9">
        <v>0.4</v>
      </c>
      <c r="N87" s="9">
        <v>0</v>
      </c>
      <c r="O87" s="9">
        <v>0.01</v>
      </c>
      <c r="P87" s="9">
        <v>0</v>
      </c>
      <c r="Q87" s="9">
        <v>0.2</v>
      </c>
    </row>
    <row r="88" spans="1:17" ht="45.75" customHeight="1">
      <c r="A88" s="3" t="s">
        <v>83</v>
      </c>
      <c r="B88" s="5" t="s">
        <v>84</v>
      </c>
      <c r="C88" s="9">
        <v>200</v>
      </c>
      <c r="D88" s="9">
        <v>0.2</v>
      </c>
      <c r="E88" s="9">
        <v>0</v>
      </c>
      <c r="F88" s="9">
        <v>6.6</v>
      </c>
      <c r="G88" s="9">
        <v>27.6</v>
      </c>
      <c r="H88" s="9">
        <v>6</v>
      </c>
      <c r="I88" s="9">
        <v>5</v>
      </c>
      <c r="J88" s="9">
        <v>8</v>
      </c>
      <c r="K88" s="9">
        <v>0</v>
      </c>
      <c r="L88" s="9">
        <v>0</v>
      </c>
      <c r="M88" s="9">
        <v>1</v>
      </c>
      <c r="N88" s="9">
        <v>0</v>
      </c>
      <c r="O88" s="9">
        <v>0.01</v>
      </c>
      <c r="P88" s="9">
        <v>7.0000000000000007E-2</v>
      </c>
      <c r="Q88" s="9">
        <v>1</v>
      </c>
    </row>
    <row r="89" spans="1:17" ht="15.75">
      <c r="A89" s="2"/>
      <c r="B89" s="11" t="s">
        <v>18</v>
      </c>
      <c r="C89" s="9">
        <f t="shared" ref="C89:Q89" si="7">SUM(C84:C88)</f>
        <v>610</v>
      </c>
      <c r="D89" s="9">
        <f t="shared" si="7"/>
        <v>38.220000000000006</v>
      </c>
      <c r="E89" s="9">
        <f t="shared" si="7"/>
        <v>20.32</v>
      </c>
      <c r="F89" s="9">
        <f t="shared" si="7"/>
        <v>92.5</v>
      </c>
      <c r="G89" s="9">
        <f t="shared" si="7"/>
        <v>703.9</v>
      </c>
      <c r="H89" s="9">
        <f t="shared" si="7"/>
        <v>97.95</v>
      </c>
      <c r="I89" s="9">
        <f t="shared" si="7"/>
        <v>144.15</v>
      </c>
      <c r="J89" s="9">
        <f t="shared" si="7"/>
        <v>327.5</v>
      </c>
      <c r="K89" s="9">
        <f t="shared" si="7"/>
        <v>45.225000000000001</v>
      </c>
      <c r="L89" s="9">
        <f t="shared" si="7"/>
        <v>34.674999999999997</v>
      </c>
      <c r="M89" s="9">
        <f t="shared" si="7"/>
        <v>4.8599999999999994</v>
      </c>
      <c r="N89" s="9">
        <f t="shared" si="7"/>
        <v>0.17300000000000001</v>
      </c>
      <c r="O89" s="9">
        <f t="shared" si="7"/>
        <v>0.16900000000000001</v>
      </c>
      <c r="P89" s="9">
        <f t="shared" si="7"/>
        <v>9.4649999999999999</v>
      </c>
      <c r="Q89" s="9">
        <f t="shared" si="7"/>
        <v>42.7</v>
      </c>
    </row>
    <row r="90" spans="1:17" ht="15.75">
      <c r="A90" s="13"/>
      <c r="B90" s="3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ht="15.75">
      <c r="A91" s="13"/>
      <c r="B91" s="3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ht="15.75">
      <c r="A92" s="13"/>
      <c r="B92" s="3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ht="15.75">
      <c r="A93" s="13"/>
      <c r="B93" s="3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s="14" customFormat="1" ht="15.75">
      <c r="A94" s="36" t="s">
        <v>66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</row>
    <row r="95" spans="1:17">
      <c r="A95" s="37" t="s">
        <v>0</v>
      </c>
      <c r="B95" s="37" t="s">
        <v>1</v>
      </c>
      <c r="C95" s="37" t="s">
        <v>2</v>
      </c>
      <c r="D95" s="40" t="s">
        <v>3</v>
      </c>
      <c r="E95" s="41"/>
      <c r="F95" s="42"/>
      <c r="G95" s="37" t="s">
        <v>16</v>
      </c>
      <c r="H95" s="40" t="s">
        <v>7</v>
      </c>
      <c r="I95" s="41"/>
      <c r="J95" s="41"/>
      <c r="K95" s="41"/>
      <c r="L95" s="41"/>
      <c r="M95" s="42"/>
      <c r="N95" s="40" t="s">
        <v>19</v>
      </c>
      <c r="O95" s="41"/>
      <c r="P95" s="41"/>
      <c r="Q95" s="42"/>
    </row>
    <row r="96" spans="1:17" ht="45.75" customHeight="1">
      <c r="A96" s="39"/>
      <c r="B96" s="39"/>
      <c r="C96" s="39"/>
      <c r="D96" s="7" t="s">
        <v>4</v>
      </c>
      <c r="E96" s="8" t="s">
        <v>5</v>
      </c>
      <c r="F96" s="8" t="s">
        <v>6</v>
      </c>
      <c r="G96" s="39"/>
      <c r="H96" s="6" t="s">
        <v>8</v>
      </c>
      <c r="I96" s="6" t="s">
        <v>9</v>
      </c>
      <c r="J96" s="6" t="s">
        <v>10</v>
      </c>
      <c r="K96" s="30" t="s">
        <v>93</v>
      </c>
      <c r="L96" s="30" t="s">
        <v>94</v>
      </c>
      <c r="M96" s="6" t="s">
        <v>11</v>
      </c>
      <c r="N96" s="6" t="s">
        <v>12</v>
      </c>
      <c r="O96" s="6" t="s">
        <v>13</v>
      </c>
      <c r="P96" s="6" t="s">
        <v>14</v>
      </c>
      <c r="Q96" s="6" t="s">
        <v>15</v>
      </c>
    </row>
    <row r="97" spans="1:17" ht="15.75">
      <c r="A97" s="1"/>
      <c r="B97" s="33" t="s">
        <v>17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5"/>
    </row>
    <row r="98" spans="1:17" ht="31.5">
      <c r="A98" s="3" t="s">
        <v>123</v>
      </c>
      <c r="B98" s="4" t="s">
        <v>124</v>
      </c>
      <c r="C98" s="21">
        <v>250</v>
      </c>
      <c r="D98" s="21">
        <v>4.78</v>
      </c>
      <c r="E98" s="21">
        <v>12.47</v>
      </c>
      <c r="F98" s="21">
        <v>22.72</v>
      </c>
      <c r="G98" s="21">
        <v>222.1</v>
      </c>
      <c r="H98" s="21">
        <v>105</v>
      </c>
      <c r="I98" s="21">
        <v>47</v>
      </c>
      <c r="J98" s="21">
        <v>116</v>
      </c>
      <c r="K98" s="21">
        <v>45.65</v>
      </c>
      <c r="L98" s="21">
        <v>0.8</v>
      </c>
      <c r="M98" s="21">
        <v>1.6</v>
      </c>
      <c r="N98" s="21">
        <v>0.13</v>
      </c>
      <c r="O98" s="21">
        <v>0.12</v>
      </c>
      <c r="P98" s="21">
        <v>0</v>
      </c>
      <c r="Q98" s="21">
        <v>20</v>
      </c>
    </row>
    <row r="99" spans="1:17" s="16" customFormat="1" ht="15.75" customHeight="1">
      <c r="A99" s="17" t="s">
        <v>24</v>
      </c>
      <c r="B99" s="6" t="s">
        <v>50</v>
      </c>
      <c r="C99" s="15">
        <v>30</v>
      </c>
      <c r="D99" s="15">
        <v>2.2799999999999998</v>
      </c>
      <c r="E99" s="15">
        <v>0.24</v>
      </c>
      <c r="F99" s="15">
        <v>14.76</v>
      </c>
      <c r="G99" s="15">
        <v>70.3</v>
      </c>
      <c r="H99" s="15">
        <v>5.7</v>
      </c>
      <c r="I99" s="15">
        <v>3.9</v>
      </c>
      <c r="J99" s="15">
        <v>19.5</v>
      </c>
      <c r="K99" s="15">
        <v>0</v>
      </c>
      <c r="L99" s="15">
        <v>0</v>
      </c>
      <c r="M99" s="15">
        <v>0.36</v>
      </c>
      <c r="N99" s="15">
        <v>3.3000000000000002E-2</v>
      </c>
      <c r="O99" s="15">
        <v>8.9999999999999993E-3</v>
      </c>
      <c r="P99" s="15">
        <v>0.27</v>
      </c>
      <c r="Q99" s="15">
        <v>0</v>
      </c>
    </row>
    <row r="100" spans="1:17" s="16" customFormat="1" ht="30" customHeight="1">
      <c r="A100" s="17" t="s">
        <v>72</v>
      </c>
      <c r="B100" s="5" t="s">
        <v>51</v>
      </c>
      <c r="C100" s="15">
        <v>20</v>
      </c>
      <c r="D100" s="15">
        <f>0.1*2</f>
        <v>0.2</v>
      </c>
      <c r="E100" s="15">
        <v>15</v>
      </c>
      <c r="F100" s="15">
        <f>0.1*2</f>
        <v>0.2</v>
      </c>
      <c r="G100" s="15">
        <v>132</v>
      </c>
      <c r="H100" s="15">
        <v>5</v>
      </c>
      <c r="I100" s="15">
        <v>0</v>
      </c>
      <c r="J100" s="15">
        <v>6</v>
      </c>
      <c r="K100" s="15">
        <v>0</v>
      </c>
      <c r="L100" s="15">
        <v>0.2</v>
      </c>
      <c r="M100" s="15">
        <v>0</v>
      </c>
      <c r="N100" s="15">
        <v>0</v>
      </c>
      <c r="O100" s="15">
        <v>0.02</v>
      </c>
      <c r="P100" s="15">
        <v>0.01</v>
      </c>
      <c r="Q100" s="15">
        <v>0</v>
      </c>
    </row>
    <row r="101" spans="1:17" ht="33" customHeight="1">
      <c r="A101" s="3" t="s">
        <v>88</v>
      </c>
      <c r="B101" s="5" t="s">
        <v>63</v>
      </c>
      <c r="C101" s="9">
        <v>200</v>
      </c>
      <c r="D101" s="9">
        <v>3.8</v>
      </c>
      <c r="E101" s="9">
        <v>3.5</v>
      </c>
      <c r="F101" s="9">
        <v>11.1</v>
      </c>
      <c r="G101" s="9">
        <v>86</v>
      </c>
      <c r="H101" s="9">
        <v>112</v>
      </c>
      <c r="I101" s="9">
        <v>30</v>
      </c>
      <c r="J101" s="9">
        <v>107</v>
      </c>
      <c r="K101" s="9">
        <v>0</v>
      </c>
      <c r="L101" s="9">
        <v>0</v>
      </c>
      <c r="M101" s="9">
        <v>1</v>
      </c>
      <c r="N101" s="9">
        <v>0.02</v>
      </c>
      <c r="O101" s="9">
        <v>0.11</v>
      </c>
      <c r="P101" s="9">
        <v>0.2</v>
      </c>
      <c r="Q101" s="9">
        <v>0</v>
      </c>
    </row>
    <row r="102" spans="1:17" ht="33" customHeight="1">
      <c r="A102" s="29" t="s">
        <v>24</v>
      </c>
      <c r="B102" s="5" t="s">
        <v>115</v>
      </c>
      <c r="C102" s="15">
        <v>100</v>
      </c>
      <c r="D102" s="15">
        <v>0.3</v>
      </c>
      <c r="E102" s="15">
        <v>0.3</v>
      </c>
      <c r="F102" s="15">
        <v>10</v>
      </c>
      <c r="G102" s="15">
        <v>44.4</v>
      </c>
      <c r="H102" s="15">
        <v>12</v>
      </c>
      <c r="I102" s="15">
        <v>6.75</v>
      </c>
      <c r="J102" s="15">
        <v>8.25</v>
      </c>
      <c r="K102" s="15">
        <v>0</v>
      </c>
      <c r="L102" s="15">
        <v>0</v>
      </c>
      <c r="M102" s="15">
        <v>1.65</v>
      </c>
      <c r="N102" s="15">
        <v>2.2499999999999999E-2</v>
      </c>
      <c r="O102" s="15">
        <v>1.4999999999999999E-2</v>
      </c>
      <c r="P102" s="15">
        <v>0.22500000000000001</v>
      </c>
      <c r="Q102" s="15">
        <v>7.5</v>
      </c>
    </row>
    <row r="103" spans="1:17" ht="15.75">
      <c r="A103" s="2"/>
      <c r="B103" s="11" t="s">
        <v>18</v>
      </c>
      <c r="C103" s="9">
        <f>SUM(C98:C102)</f>
        <v>600</v>
      </c>
      <c r="D103" s="9">
        <f t="shared" ref="D103:Q103" si="8">SUM(D98:D102)</f>
        <v>11.360000000000001</v>
      </c>
      <c r="E103" s="9">
        <f t="shared" si="8"/>
        <v>31.51</v>
      </c>
      <c r="F103" s="9">
        <f t="shared" si="8"/>
        <v>58.78</v>
      </c>
      <c r="G103" s="9">
        <f t="shared" si="8"/>
        <v>554.79999999999995</v>
      </c>
      <c r="H103" s="9">
        <f t="shared" si="8"/>
        <v>239.7</v>
      </c>
      <c r="I103" s="9">
        <f t="shared" si="8"/>
        <v>87.65</v>
      </c>
      <c r="J103" s="9">
        <f t="shared" si="8"/>
        <v>256.75</v>
      </c>
      <c r="K103" s="9">
        <f t="shared" si="8"/>
        <v>45.65</v>
      </c>
      <c r="L103" s="9">
        <f t="shared" si="8"/>
        <v>1</v>
      </c>
      <c r="M103" s="9">
        <f t="shared" si="8"/>
        <v>4.6099999999999994</v>
      </c>
      <c r="N103" s="9">
        <f t="shared" si="8"/>
        <v>0.20549999999999999</v>
      </c>
      <c r="O103" s="9">
        <f t="shared" si="8"/>
        <v>0.27400000000000002</v>
      </c>
      <c r="P103" s="9">
        <f t="shared" si="8"/>
        <v>0.70500000000000007</v>
      </c>
      <c r="Q103" s="9">
        <f t="shared" si="8"/>
        <v>27.5</v>
      </c>
    </row>
    <row r="104" spans="1:17" ht="15.75">
      <c r="A104" s="13"/>
      <c r="B104" s="3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ht="15.75">
      <c r="A105" s="13"/>
      <c r="B105" s="3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ht="15.75">
      <c r="A106" s="13"/>
      <c r="B106" s="3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ht="15.75">
      <c r="A107" s="13"/>
      <c r="B107" s="3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s="14" customFormat="1" ht="15.75">
      <c r="A108" s="36" t="s">
        <v>67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17">
      <c r="A109" s="37" t="s">
        <v>0</v>
      </c>
      <c r="B109" s="37" t="s">
        <v>1</v>
      </c>
      <c r="C109" s="37" t="s">
        <v>2</v>
      </c>
      <c r="D109" s="40" t="s">
        <v>3</v>
      </c>
      <c r="E109" s="41"/>
      <c r="F109" s="42"/>
      <c r="G109" s="37" t="s">
        <v>16</v>
      </c>
      <c r="H109" s="40" t="s">
        <v>7</v>
      </c>
      <c r="I109" s="41"/>
      <c r="J109" s="41"/>
      <c r="K109" s="41"/>
      <c r="L109" s="41"/>
      <c r="M109" s="42"/>
      <c r="N109" s="40" t="s">
        <v>19</v>
      </c>
      <c r="O109" s="41"/>
      <c r="P109" s="41"/>
      <c r="Q109" s="42"/>
    </row>
    <row r="110" spans="1:17" ht="45.75" customHeight="1">
      <c r="A110" s="39"/>
      <c r="B110" s="39"/>
      <c r="C110" s="39"/>
      <c r="D110" s="7" t="s">
        <v>4</v>
      </c>
      <c r="E110" s="8" t="s">
        <v>5</v>
      </c>
      <c r="F110" s="8" t="s">
        <v>6</v>
      </c>
      <c r="G110" s="39"/>
      <c r="H110" s="6" t="s">
        <v>8</v>
      </c>
      <c r="I110" s="6" t="s">
        <v>9</v>
      </c>
      <c r="J110" s="6" t="s">
        <v>10</v>
      </c>
      <c r="K110" s="30" t="s">
        <v>93</v>
      </c>
      <c r="L110" s="30" t="s">
        <v>94</v>
      </c>
      <c r="M110" s="6" t="s">
        <v>11</v>
      </c>
      <c r="N110" s="6" t="s">
        <v>12</v>
      </c>
      <c r="O110" s="6" t="s">
        <v>13</v>
      </c>
      <c r="P110" s="6" t="s">
        <v>14</v>
      </c>
      <c r="Q110" s="6" t="s">
        <v>15</v>
      </c>
    </row>
    <row r="111" spans="1:17" ht="15.75">
      <c r="A111" s="1"/>
      <c r="B111" s="33" t="s">
        <v>17</v>
      </c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5"/>
    </row>
    <row r="112" spans="1:17" ht="31.5">
      <c r="A112" s="3" t="s">
        <v>74</v>
      </c>
      <c r="B112" s="4" t="s">
        <v>68</v>
      </c>
      <c r="C112" s="21">
        <v>200</v>
      </c>
      <c r="D112" s="21">
        <v>7.1</v>
      </c>
      <c r="E112" s="21">
        <v>6.56</v>
      </c>
      <c r="F112" s="21">
        <v>43.74</v>
      </c>
      <c r="G112" s="21">
        <v>262.39999999999998</v>
      </c>
      <c r="H112" s="21">
        <v>141</v>
      </c>
      <c r="I112" s="21">
        <v>9</v>
      </c>
      <c r="J112" s="21">
        <v>53</v>
      </c>
      <c r="K112" s="21">
        <v>27.69</v>
      </c>
      <c r="L112" s="21">
        <v>0.1</v>
      </c>
      <c r="M112" s="21">
        <v>0.9</v>
      </c>
      <c r="N112" s="21">
        <v>0.08</v>
      </c>
      <c r="O112" s="21">
        <v>0.03</v>
      </c>
      <c r="P112" s="21">
        <v>0</v>
      </c>
      <c r="Q112" s="21">
        <v>0</v>
      </c>
    </row>
    <row r="113" spans="1:17" ht="33.75" customHeight="1">
      <c r="A113" s="17" t="s">
        <v>129</v>
      </c>
      <c r="B113" s="6" t="s">
        <v>130</v>
      </c>
      <c r="C113" s="10">
        <v>90</v>
      </c>
      <c r="D113" s="9">
        <v>13.01</v>
      </c>
      <c r="E113" s="9">
        <v>13.17</v>
      </c>
      <c r="F113" s="9">
        <v>7.28</v>
      </c>
      <c r="G113" s="9">
        <v>199.7</v>
      </c>
      <c r="H113" s="9">
        <v>23</v>
      </c>
      <c r="I113" s="9">
        <v>20</v>
      </c>
      <c r="J113" s="9">
        <v>139</v>
      </c>
      <c r="K113" s="9">
        <v>26.85</v>
      </c>
      <c r="L113" s="9">
        <v>1.4</v>
      </c>
      <c r="M113" s="9">
        <v>1.8</v>
      </c>
      <c r="N113" s="9">
        <v>0.04</v>
      </c>
      <c r="O113" s="9">
        <v>0.1</v>
      </c>
      <c r="P113" s="9">
        <v>0</v>
      </c>
      <c r="Q113" s="9">
        <v>0</v>
      </c>
    </row>
    <row r="114" spans="1:17" s="16" customFormat="1" ht="15.75" customHeight="1">
      <c r="A114" s="17" t="s">
        <v>24</v>
      </c>
      <c r="B114" s="6" t="s">
        <v>50</v>
      </c>
      <c r="C114" s="15">
        <v>30</v>
      </c>
      <c r="D114" s="15">
        <v>2.2799999999999998</v>
      </c>
      <c r="E114" s="15">
        <v>0.24</v>
      </c>
      <c r="F114" s="15">
        <v>14.76</v>
      </c>
      <c r="G114" s="15">
        <v>70.3</v>
      </c>
      <c r="H114" s="15">
        <v>5.7</v>
      </c>
      <c r="I114" s="15">
        <v>3.9</v>
      </c>
      <c r="J114" s="15">
        <v>19.5</v>
      </c>
      <c r="K114" s="15">
        <v>0</v>
      </c>
      <c r="L114" s="15">
        <v>0</v>
      </c>
      <c r="M114" s="15">
        <v>0.36</v>
      </c>
      <c r="N114" s="15">
        <v>3.3000000000000002E-2</v>
      </c>
      <c r="O114" s="15">
        <v>8.9999999999999993E-3</v>
      </c>
      <c r="P114" s="15">
        <v>0.27</v>
      </c>
      <c r="Q114" s="15">
        <v>0</v>
      </c>
    </row>
    <row r="115" spans="1:17" s="16" customFormat="1" ht="45.75" customHeight="1">
      <c r="A115" s="17" t="s">
        <v>85</v>
      </c>
      <c r="B115" s="6" t="s">
        <v>86</v>
      </c>
      <c r="C115" s="15">
        <v>200</v>
      </c>
      <c r="D115" s="15">
        <v>1.5</v>
      </c>
      <c r="E115" s="15">
        <v>1.4</v>
      </c>
      <c r="F115" s="15">
        <v>8.6</v>
      </c>
      <c r="G115" s="15">
        <v>51</v>
      </c>
      <c r="H115" s="15">
        <v>57</v>
      </c>
      <c r="I115" s="15">
        <v>10</v>
      </c>
      <c r="J115" s="15">
        <v>47</v>
      </c>
      <c r="K115" s="15">
        <v>4.5</v>
      </c>
      <c r="L115" s="15">
        <v>0.9</v>
      </c>
      <c r="M115" s="15">
        <v>1</v>
      </c>
      <c r="N115" s="15">
        <v>0</v>
      </c>
      <c r="O115" s="15">
        <v>0.06</v>
      </c>
      <c r="P115" s="15">
        <v>0.1</v>
      </c>
      <c r="Q115" s="15">
        <v>0</v>
      </c>
    </row>
    <row r="116" spans="1:17" ht="28.5" customHeight="1">
      <c r="A116" s="17" t="s">
        <v>127</v>
      </c>
      <c r="B116" s="6" t="s">
        <v>128</v>
      </c>
      <c r="C116" s="15">
        <v>50</v>
      </c>
      <c r="D116" s="15">
        <v>1.8</v>
      </c>
      <c r="E116" s="15">
        <v>3.7</v>
      </c>
      <c r="F116" s="15">
        <v>4.7699999999999996</v>
      </c>
      <c r="G116" s="15">
        <v>59.6</v>
      </c>
      <c r="H116" s="15">
        <v>55</v>
      </c>
      <c r="I116" s="15">
        <v>7</v>
      </c>
      <c r="J116" s="15">
        <v>43</v>
      </c>
      <c r="K116" s="15">
        <v>10.56</v>
      </c>
      <c r="L116" s="15">
        <v>1.1000000000000001</v>
      </c>
      <c r="M116" s="15">
        <v>0</v>
      </c>
      <c r="N116" s="15">
        <v>0.01</v>
      </c>
      <c r="O116" s="15">
        <v>0.06</v>
      </c>
      <c r="P116" s="15">
        <v>0</v>
      </c>
      <c r="Q116" s="15">
        <v>0</v>
      </c>
    </row>
    <row r="117" spans="1:17" ht="35.25" customHeight="1">
      <c r="A117" s="29" t="s">
        <v>121</v>
      </c>
      <c r="B117" s="5" t="s">
        <v>120</v>
      </c>
      <c r="C117" s="15">
        <v>100</v>
      </c>
      <c r="D117" s="15">
        <v>1.34</v>
      </c>
      <c r="E117" s="15">
        <v>4.4800000000000004</v>
      </c>
      <c r="F117" s="15">
        <v>7.61</v>
      </c>
      <c r="G117" s="15">
        <v>76.099999999999994</v>
      </c>
      <c r="H117" s="15">
        <v>32</v>
      </c>
      <c r="I117" s="15">
        <v>18</v>
      </c>
      <c r="J117" s="15">
        <v>36</v>
      </c>
      <c r="K117" s="15">
        <v>19.98</v>
      </c>
      <c r="L117" s="15">
        <v>0.6</v>
      </c>
      <c r="M117" s="15">
        <v>1.2</v>
      </c>
      <c r="N117" s="15">
        <v>0.01</v>
      </c>
      <c r="O117" s="15">
        <v>0.03</v>
      </c>
      <c r="P117" s="15">
        <v>0</v>
      </c>
      <c r="Q117" s="15">
        <v>4</v>
      </c>
    </row>
    <row r="118" spans="1:17" ht="15.75">
      <c r="A118" s="2"/>
      <c r="B118" s="11" t="s">
        <v>18</v>
      </c>
      <c r="C118" s="9">
        <f>SUM(C112:C117)</f>
        <v>670</v>
      </c>
      <c r="D118" s="9">
        <f t="shared" ref="D118:Q118" si="9">SUM(D112:D117)</f>
        <v>27.03</v>
      </c>
      <c r="E118" s="9">
        <f t="shared" si="9"/>
        <v>29.549999999999997</v>
      </c>
      <c r="F118" s="9">
        <f t="shared" si="9"/>
        <v>86.759999999999991</v>
      </c>
      <c r="G118" s="9">
        <f t="shared" si="9"/>
        <v>719.1</v>
      </c>
      <c r="H118" s="9">
        <f t="shared" si="9"/>
        <v>313.7</v>
      </c>
      <c r="I118" s="9">
        <f t="shared" si="9"/>
        <v>67.900000000000006</v>
      </c>
      <c r="J118" s="9">
        <f t="shared" si="9"/>
        <v>337.5</v>
      </c>
      <c r="K118" s="9">
        <f t="shared" si="9"/>
        <v>89.580000000000013</v>
      </c>
      <c r="L118" s="9">
        <f t="shared" si="9"/>
        <v>4.0999999999999996</v>
      </c>
      <c r="M118" s="9">
        <f t="shared" si="9"/>
        <v>5.2600000000000007</v>
      </c>
      <c r="N118" s="9">
        <f t="shared" si="9"/>
        <v>0.17300000000000001</v>
      </c>
      <c r="O118" s="9">
        <f t="shared" si="9"/>
        <v>0.28900000000000003</v>
      </c>
      <c r="P118" s="9">
        <f t="shared" si="9"/>
        <v>0.37</v>
      </c>
      <c r="Q118" s="9">
        <f t="shared" si="9"/>
        <v>4</v>
      </c>
    </row>
    <row r="119" spans="1:17" ht="43.5">
      <c r="A119" s="2"/>
      <c r="B119" s="11" t="s">
        <v>95</v>
      </c>
      <c r="C119" s="31">
        <f>(C10+C21+C31+C42+C52+C63+C78+C89+C103+C118)/10</f>
        <v>623.5</v>
      </c>
      <c r="D119" s="31">
        <f>(D10+D21+D31+D42+D52+D63+D78+D89+D103+D118)/10</f>
        <v>27.773000000000003</v>
      </c>
      <c r="E119" s="31">
        <f>(E10+E21+E31+E42+E52+E63+E78+E89+E103+E118)/10</f>
        <v>27.570999999999998</v>
      </c>
      <c r="F119" s="31">
        <f>(F10+F21+F31+F42+F52+F63+F78+F89+F103+F118)/10</f>
        <v>70.780999999999992</v>
      </c>
      <c r="G119" s="31">
        <f>(G10+G21+G31+G42+G52+G63+G78+G89+G103+G118)/10</f>
        <v>643.82500000000005</v>
      </c>
      <c r="H119" s="31">
        <f>(H10+H21+H31+H42+H52+H63+H78+H89+H103+H118)/10</f>
        <v>294.87499999999994</v>
      </c>
      <c r="I119" s="31">
        <f>(I10+I21+I31+I42+I52+I63+I78+I89+I103+I118)/10</f>
        <v>103.65</v>
      </c>
      <c r="J119" s="31">
        <f>(J10+J21+J31+J42+J52+J63+J78+J89+J103+J118)/10</f>
        <v>400.32499999999999</v>
      </c>
      <c r="K119" s="31">
        <f>(K10+K21+K31+K42+K52+K63+K78+K89+K103+K118)/10</f>
        <v>88.758499999999998</v>
      </c>
      <c r="L119" s="31">
        <f>(L10+L21+L31+L42+L52+L63+L78+L89+L103+L118)/10</f>
        <v>18.512499999999996</v>
      </c>
      <c r="M119" s="31">
        <f>(M10+M21+M31+M42+M52+M63+M78+M89+M103+M118)/10</f>
        <v>4.6950000000000003</v>
      </c>
      <c r="N119" s="31">
        <f>(N10+N21+N31+N42+N52+N63+N78+N89+N103+N118)/10</f>
        <v>0.23224999999999998</v>
      </c>
      <c r="O119" s="31">
        <f>(O10+O21+O31+O42+O52+O63+O78+O89+O103+O118)/10</f>
        <v>0.32650000000000007</v>
      </c>
      <c r="P119" s="31">
        <f>(P10+P21+P31+P42+P52+P63+P78+P89+P103+P118)/10</f>
        <v>1.6960000000000002</v>
      </c>
      <c r="Q119" s="31">
        <f>(Q10+Q21+Q31+Q42+Q52+Q63+Q78+Q89+Q103+Q118)/10</f>
        <v>23.72</v>
      </c>
    </row>
  </sheetData>
  <mergeCells count="90">
    <mergeCell ref="B111:Q111"/>
    <mergeCell ref="B97:Q97"/>
    <mergeCell ref="A108:Q108"/>
    <mergeCell ref="A109:A110"/>
    <mergeCell ref="B109:B110"/>
    <mergeCell ref="C109:C110"/>
    <mergeCell ref="D109:F109"/>
    <mergeCell ref="G109:G110"/>
    <mergeCell ref="H109:M109"/>
    <mergeCell ref="N109:Q109"/>
    <mergeCell ref="B83:Q83"/>
    <mergeCell ref="A94:Q94"/>
    <mergeCell ref="A95:A96"/>
    <mergeCell ref="B95:B96"/>
    <mergeCell ref="C95:C96"/>
    <mergeCell ref="D95:F95"/>
    <mergeCell ref="G95:G96"/>
    <mergeCell ref="H95:M95"/>
    <mergeCell ref="N95:Q95"/>
    <mergeCell ref="B72:Q72"/>
    <mergeCell ref="A80:Q80"/>
    <mergeCell ref="A81:A82"/>
    <mergeCell ref="B81:B82"/>
    <mergeCell ref="C81:C82"/>
    <mergeCell ref="D81:F81"/>
    <mergeCell ref="G81:G82"/>
    <mergeCell ref="H81:M81"/>
    <mergeCell ref="N81:Q81"/>
    <mergeCell ref="B57:Q57"/>
    <mergeCell ref="A69:Q69"/>
    <mergeCell ref="A70:A71"/>
    <mergeCell ref="B70:B71"/>
    <mergeCell ref="C70:C71"/>
    <mergeCell ref="D70:F70"/>
    <mergeCell ref="G70:G71"/>
    <mergeCell ref="H70:M70"/>
    <mergeCell ref="N70:Q70"/>
    <mergeCell ref="B46:Q46"/>
    <mergeCell ref="A54:Q54"/>
    <mergeCell ref="A55:A56"/>
    <mergeCell ref="B55:B56"/>
    <mergeCell ref="C55:C56"/>
    <mergeCell ref="D55:F55"/>
    <mergeCell ref="G55:G56"/>
    <mergeCell ref="H55:M55"/>
    <mergeCell ref="N55:Q55"/>
    <mergeCell ref="B35:Q35"/>
    <mergeCell ref="A43:Q43"/>
    <mergeCell ref="A44:A45"/>
    <mergeCell ref="B44:B45"/>
    <mergeCell ref="C44:C45"/>
    <mergeCell ref="D44:F44"/>
    <mergeCell ref="G44:G45"/>
    <mergeCell ref="H44:M44"/>
    <mergeCell ref="N44:Q44"/>
    <mergeCell ref="B25:Q25"/>
    <mergeCell ref="A32:Q32"/>
    <mergeCell ref="A33:A34"/>
    <mergeCell ref="B33:B34"/>
    <mergeCell ref="C33:C34"/>
    <mergeCell ref="D33:F33"/>
    <mergeCell ref="G33:G34"/>
    <mergeCell ref="H33:M33"/>
    <mergeCell ref="N33:Q33"/>
    <mergeCell ref="A22:Q22"/>
    <mergeCell ref="A23:A24"/>
    <mergeCell ref="B23:B24"/>
    <mergeCell ref="C23:C24"/>
    <mergeCell ref="D23:F23"/>
    <mergeCell ref="G23:G24"/>
    <mergeCell ref="H23:M23"/>
    <mergeCell ref="N23:Q23"/>
    <mergeCell ref="B14:Q14"/>
    <mergeCell ref="A11:Q11"/>
    <mergeCell ref="A12:A13"/>
    <mergeCell ref="B12:B13"/>
    <mergeCell ref="C12:C13"/>
    <mergeCell ref="D12:F12"/>
    <mergeCell ref="G12:G13"/>
    <mergeCell ref="H12:M12"/>
    <mergeCell ref="N12:Q12"/>
    <mergeCell ref="B4:Q4"/>
    <mergeCell ref="A1:Q1"/>
    <mergeCell ref="A2:A3"/>
    <mergeCell ref="B2:B3"/>
    <mergeCell ref="C2:C3"/>
    <mergeCell ref="D2:F2"/>
    <mergeCell ref="G2:G3"/>
    <mergeCell ref="H2:M2"/>
    <mergeCell ref="N2:Q2"/>
  </mergeCells>
  <pageMargins left="0.23622047244094491" right="0.23622047244094491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topLeftCell="A2" workbookViewId="0">
      <selection activeCell="O22" sqref="O22"/>
    </sheetView>
  </sheetViews>
  <sheetFormatPr defaultRowHeight="15"/>
  <cols>
    <col min="1" max="1" width="4" customWidth="1"/>
    <col min="2" max="2" width="29" customWidth="1"/>
    <col min="4" max="4" width="6.5703125" customWidth="1"/>
    <col min="5" max="5" width="6.7109375" customWidth="1"/>
    <col min="6" max="6" width="7.28515625" customWidth="1"/>
    <col min="7" max="7" width="6.5703125" customWidth="1"/>
    <col min="8" max="9" width="7" customWidth="1"/>
    <col min="10" max="10" width="6.42578125" customWidth="1"/>
    <col min="11" max="11" width="7" customWidth="1"/>
    <col min="12" max="12" width="6.7109375" customWidth="1"/>
    <col min="14" max="14" width="10.42578125" customWidth="1"/>
    <col min="15" max="15" width="12.42578125" customWidth="1"/>
  </cols>
  <sheetData>
    <row r="1" spans="1:15" ht="38.25" customHeight="1">
      <c r="A1" s="43" t="s">
        <v>25</v>
      </c>
      <c r="B1" s="43" t="s">
        <v>26</v>
      </c>
      <c r="C1" s="43" t="s">
        <v>27</v>
      </c>
      <c r="D1" s="45" t="s">
        <v>28</v>
      </c>
      <c r="E1" s="46"/>
      <c r="F1" s="46"/>
      <c r="G1" s="46"/>
      <c r="H1" s="46"/>
      <c r="I1" s="46"/>
      <c r="J1" s="46"/>
      <c r="K1" s="46"/>
      <c r="L1" s="46"/>
      <c r="M1" s="47"/>
      <c r="N1" s="43" t="s">
        <v>29</v>
      </c>
      <c r="O1" s="43" t="s">
        <v>30</v>
      </c>
    </row>
    <row r="2" spans="1:15">
      <c r="A2" s="44"/>
      <c r="B2" s="44"/>
      <c r="C2" s="44"/>
      <c r="D2" s="20">
        <v>1</v>
      </c>
      <c r="E2" s="20">
        <v>2</v>
      </c>
      <c r="F2" s="20">
        <v>3</v>
      </c>
      <c r="G2" s="20">
        <v>4</v>
      </c>
      <c r="H2" s="20">
        <v>5</v>
      </c>
      <c r="I2" s="20">
        <v>6</v>
      </c>
      <c r="J2" s="20">
        <v>7</v>
      </c>
      <c r="K2" s="20">
        <v>8</v>
      </c>
      <c r="L2" s="20">
        <v>9</v>
      </c>
      <c r="M2" s="20">
        <v>10</v>
      </c>
      <c r="N2" s="44"/>
      <c r="O2" s="44"/>
    </row>
    <row r="3" spans="1:15">
      <c r="A3" s="22">
        <v>1</v>
      </c>
      <c r="B3" s="23" t="s">
        <v>20</v>
      </c>
      <c r="C3" s="25">
        <v>75</v>
      </c>
      <c r="D3" s="26">
        <f>30</f>
        <v>30</v>
      </c>
      <c r="E3" s="26">
        <f>44.3</f>
        <v>44.3</v>
      </c>
      <c r="F3" s="26">
        <v>30</v>
      </c>
      <c r="G3" s="26">
        <v>30</v>
      </c>
      <c r="H3" s="26">
        <f>30</f>
        <v>30</v>
      </c>
      <c r="I3" s="26">
        <f>30</f>
        <v>30</v>
      </c>
      <c r="J3" s="26">
        <v>30</v>
      </c>
      <c r="K3" s="26">
        <f>30</f>
        <v>30</v>
      </c>
      <c r="L3" s="26">
        <f>30</f>
        <v>30</v>
      </c>
      <c r="M3" s="26">
        <f>14.3+30</f>
        <v>44.3</v>
      </c>
      <c r="N3" s="27">
        <f>SUM(D3:M3)/10</f>
        <v>32.86</v>
      </c>
      <c r="O3" s="28" t="s">
        <v>98</v>
      </c>
    </row>
    <row r="4" spans="1:15">
      <c r="A4" s="22">
        <v>2</v>
      </c>
      <c r="B4" s="23" t="s">
        <v>31</v>
      </c>
      <c r="C4" s="25">
        <v>7</v>
      </c>
      <c r="D4" s="26">
        <v>0</v>
      </c>
      <c r="E4" s="26">
        <f>1.25</f>
        <v>1.25</v>
      </c>
      <c r="F4" s="26">
        <v>0</v>
      </c>
      <c r="G4" s="26">
        <f>2.5+4.4</f>
        <v>6.9</v>
      </c>
      <c r="H4" s="26">
        <v>0</v>
      </c>
      <c r="I4" s="26">
        <v>0</v>
      </c>
      <c r="J4" s="26">
        <v>0</v>
      </c>
      <c r="K4" s="26">
        <v>0</v>
      </c>
      <c r="L4" s="26">
        <v>0</v>
      </c>
      <c r="M4" s="26">
        <v>2.5</v>
      </c>
      <c r="N4" s="27">
        <f t="shared" ref="N4:N20" si="0">SUM(D4:M4)/10</f>
        <v>1.0649999999999999</v>
      </c>
      <c r="O4" s="28" t="s">
        <v>99</v>
      </c>
    </row>
    <row r="5" spans="1:15" ht="25.5">
      <c r="A5" s="22">
        <v>3</v>
      </c>
      <c r="B5" s="23" t="s">
        <v>41</v>
      </c>
      <c r="C5" s="25">
        <v>81</v>
      </c>
      <c r="D5" s="26">
        <v>0</v>
      </c>
      <c r="E5" s="26">
        <f>92</f>
        <v>92</v>
      </c>
      <c r="F5" s="26">
        <f>51.19</f>
        <v>51.19</v>
      </c>
      <c r="G5" s="26">
        <v>0</v>
      </c>
      <c r="H5" s="26">
        <f>16.13</f>
        <v>16.13</v>
      </c>
      <c r="I5" s="26">
        <f>54</f>
        <v>54</v>
      </c>
      <c r="J5" s="26">
        <f>53.75</f>
        <v>53.75</v>
      </c>
      <c r="K5" s="26">
        <f>56.63</f>
        <v>56.63</v>
      </c>
      <c r="L5" s="26">
        <v>0</v>
      </c>
      <c r="M5" s="26">
        <f>68</f>
        <v>68</v>
      </c>
      <c r="N5" s="27">
        <f t="shared" si="0"/>
        <v>39.17</v>
      </c>
      <c r="O5" s="28" t="s">
        <v>100</v>
      </c>
    </row>
    <row r="6" spans="1:15">
      <c r="A6" s="22">
        <v>4</v>
      </c>
      <c r="B6" s="23" t="s">
        <v>32</v>
      </c>
      <c r="C6" s="25">
        <v>171</v>
      </c>
      <c r="D6" s="26">
        <v>0</v>
      </c>
      <c r="E6" s="26">
        <v>0</v>
      </c>
      <c r="F6" s="26">
        <v>0</v>
      </c>
      <c r="G6" s="26">
        <f>228.53</f>
        <v>228.53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7">
        <f t="shared" si="0"/>
        <v>22.853000000000002</v>
      </c>
      <c r="O6" s="28" t="s">
        <v>101</v>
      </c>
    </row>
    <row r="7" spans="1:15">
      <c r="A7" s="22">
        <v>5</v>
      </c>
      <c r="B7" s="23" t="s">
        <v>42</v>
      </c>
      <c r="C7" s="25">
        <v>76</v>
      </c>
      <c r="D7" s="26">
        <f>56.3</f>
        <v>56.3</v>
      </c>
      <c r="E7" s="26">
        <v>0</v>
      </c>
      <c r="F7" s="26">
        <v>0</v>
      </c>
      <c r="G7" s="26">
        <f>2.25</f>
        <v>2.25</v>
      </c>
      <c r="H7" s="26">
        <v>0</v>
      </c>
      <c r="I7" s="26">
        <f>20+84.45</f>
        <v>104.45</v>
      </c>
      <c r="J7" s="26">
        <v>0</v>
      </c>
      <c r="K7" s="26">
        <f>16.75+10.5+56.3</f>
        <v>83.55</v>
      </c>
      <c r="L7" s="26">
        <f>80.63+62.3</f>
        <v>142.93</v>
      </c>
      <c r="M7" s="26">
        <f>4.5+2.25</f>
        <v>6.75</v>
      </c>
      <c r="N7" s="27">
        <f t="shared" si="0"/>
        <v>39.623000000000005</v>
      </c>
      <c r="O7" s="28" t="s">
        <v>102</v>
      </c>
    </row>
    <row r="8" spans="1:15">
      <c r="A8" s="22">
        <v>6</v>
      </c>
      <c r="B8" s="23" t="s">
        <v>89</v>
      </c>
      <c r="C8" s="25">
        <v>60</v>
      </c>
      <c r="D8" s="26">
        <v>0</v>
      </c>
      <c r="E8" s="26">
        <v>0</v>
      </c>
      <c r="F8" s="26">
        <v>75</v>
      </c>
      <c r="G8" s="26">
        <v>8</v>
      </c>
      <c r="H8" s="26">
        <v>75</v>
      </c>
      <c r="I8" s="26">
        <v>0</v>
      </c>
      <c r="J8" s="26">
        <v>75</v>
      </c>
      <c r="K8" s="26">
        <v>8</v>
      </c>
      <c r="L8" s="26">
        <v>0</v>
      </c>
      <c r="M8" s="26">
        <v>0</v>
      </c>
      <c r="N8" s="27">
        <f t="shared" si="0"/>
        <v>24.1</v>
      </c>
      <c r="O8" s="28" t="s">
        <v>103</v>
      </c>
    </row>
    <row r="9" spans="1:15">
      <c r="A9" s="22">
        <v>7</v>
      </c>
      <c r="B9" s="23" t="s">
        <v>33</v>
      </c>
      <c r="C9" s="25">
        <v>1</v>
      </c>
      <c r="D9" s="26">
        <f>6.4+6.1</f>
        <v>12.5</v>
      </c>
      <c r="E9" s="26">
        <v>0</v>
      </c>
      <c r="F9" s="26">
        <f>10.44</f>
        <v>10.44</v>
      </c>
      <c r="G9" s="26">
        <v>0</v>
      </c>
      <c r="H9" s="26">
        <v>0</v>
      </c>
      <c r="I9" s="26">
        <f>9.6+9.15</f>
        <v>18.75</v>
      </c>
      <c r="J9" s="26">
        <v>0</v>
      </c>
      <c r="K9" s="26">
        <f>16.1</f>
        <v>16.100000000000001</v>
      </c>
      <c r="L9" s="26">
        <f>7.7</f>
        <v>7.7</v>
      </c>
      <c r="M9" s="26">
        <v>0</v>
      </c>
      <c r="N9" s="27">
        <f t="shared" si="0"/>
        <v>6.5489999999999995</v>
      </c>
      <c r="O9" s="28" t="s">
        <v>104</v>
      </c>
    </row>
    <row r="10" spans="1:15">
      <c r="A10" s="22">
        <v>8</v>
      </c>
      <c r="B10" s="23" t="s">
        <v>43</v>
      </c>
      <c r="C10" s="25">
        <v>127</v>
      </c>
      <c r="D10" s="26">
        <v>0</v>
      </c>
      <c r="E10" s="26">
        <f>72.9</f>
        <v>72.900000000000006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150.75</v>
      </c>
      <c r="L10" s="26">
        <v>0</v>
      </c>
      <c r="M10" s="26">
        <f>72.9</f>
        <v>72.900000000000006</v>
      </c>
      <c r="N10" s="27">
        <f t="shared" si="0"/>
        <v>29.655000000000001</v>
      </c>
      <c r="O10" s="28" t="s">
        <v>105</v>
      </c>
    </row>
    <row r="11" spans="1:15">
      <c r="A11" s="22">
        <v>9</v>
      </c>
      <c r="B11" s="23" t="s">
        <v>34</v>
      </c>
      <c r="C11" s="25">
        <v>51</v>
      </c>
      <c r="D11" s="26">
        <v>0</v>
      </c>
      <c r="E11" s="26">
        <v>0</v>
      </c>
      <c r="F11" s="26">
        <v>0</v>
      </c>
      <c r="G11" s="26">
        <f>93.6</f>
        <v>93.6</v>
      </c>
      <c r="H11" s="26">
        <v>0</v>
      </c>
      <c r="I11" s="26">
        <f>72.3</f>
        <v>72.3</v>
      </c>
      <c r="J11" s="26">
        <v>0</v>
      </c>
      <c r="K11" s="26">
        <v>0</v>
      </c>
      <c r="L11" s="26">
        <v>0</v>
      </c>
      <c r="M11" s="26">
        <v>0</v>
      </c>
      <c r="N11" s="27">
        <f t="shared" si="0"/>
        <v>16.589999999999996</v>
      </c>
      <c r="O11" s="28" t="s">
        <v>91</v>
      </c>
    </row>
    <row r="12" spans="1:15" ht="38.25">
      <c r="A12" s="22">
        <v>10</v>
      </c>
      <c r="B12" s="23" t="s">
        <v>44</v>
      </c>
      <c r="C12" s="25">
        <v>85</v>
      </c>
      <c r="D12" s="26">
        <f>100+100</f>
        <v>200</v>
      </c>
      <c r="E12" s="26">
        <f>17.3</f>
        <v>17.3</v>
      </c>
      <c r="F12" s="26">
        <f>102.38+50</f>
        <v>152.38</v>
      </c>
      <c r="G12" s="26">
        <f>32</f>
        <v>32</v>
      </c>
      <c r="H12" s="26">
        <v>0</v>
      </c>
      <c r="I12" s="26">
        <f>25.6</f>
        <v>25.6</v>
      </c>
      <c r="J12" s="26">
        <f>111.8+130</f>
        <v>241.8</v>
      </c>
      <c r="K12" s="26">
        <v>0</v>
      </c>
      <c r="L12" s="26">
        <f>80.63+100</f>
        <v>180.63</v>
      </c>
      <c r="M12" s="26">
        <f>17.3+50</f>
        <v>67.3</v>
      </c>
      <c r="N12" s="27">
        <f t="shared" si="0"/>
        <v>91.700999999999993</v>
      </c>
      <c r="O12" s="28" t="s">
        <v>106</v>
      </c>
    </row>
    <row r="13" spans="1:15">
      <c r="A13" s="22">
        <v>11</v>
      </c>
      <c r="B13" s="23" t="s">
        <v>35</v>
      </c>
      <c r="C13" s="25">
        <v>10</v>
      </c>
      <c r="D13" s="26">
        <v>0</v>
      </c>
      <c r="E13" s="26">
        <v>0</v>
      </c>
      <c r="F13" s="26">
        <v>0</v>
      </c>
      <c r="G13" s="26">
        <v>0</v>
      </c>
      <c r="H13" s="26">
        <v>232.5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7">
        <f t="shared" si="0"/>
        <v>23.25</v>
      </c>
      <c r="O13" s="28" t="s">
        <v>107</v>
      </c>
    </row>
    <row r="14" spans="1:15">
      <c r="A14" s="22">
        <v>12</v>
      </c>
      <c r="B14" s="23" t="s">
        <v>45</v>
      </c>
      <c r="C14" s="25">
        <v>4.5</v>
      </c>
      <c r="D14" s="26">
        <v>0</v>
      </c>
      <c r="E14" s="26">
        <v>0</v>
      </c>
      <c r="F14" s="26">
        <f>30</f>
        <v>30</v>
      </c>
      <c r="G14" s="26">
        <f>5.7</f>
        <v>5.7</v>
      </c>
      <c r="H14" s="26">
        <v>0</v>
      </c>
      <c r="I14" s="26">
        <v>0</v>
      </c>
      <c r="J14" s="26">
        <f>30</f>
        <v>30</v>
      </c>
      <c r="K14" s="26">
        <v>0</v>
      </c>
      <c r="L14" s="26">
        <v>0</v>
      </c>
      <c r="M14" s="26">
        <v>0</v>
      </c>
      <c r="N14" s="27">
        <f t="shared" si="0"/>
        <v>6.57</v>
      </c>
      <c r="O14" s="28" t="s">
        <v>92</v>
      </c>
    </row>
    <row r="15" spans="1:15">
      <c r="A15" s="22">
        <v>13</v>
      </c>
      <c r="B15" s="23" t="s">
        <v>36</v>
      </c>
      <c r="C15" s="25">
        <v>6</v>
      </c>
      <c r="D15" s="26">
        <v>0</v>
      </c>
      <c r="E15" s="26">
        <f>25</f>
        <v>25</v>
      </c>
      <c r="F15" s="26">
        <v>0</v>
      </c>
      <c r="G15" s="26">
        <f>47</f>
        <v>47</v>
      </c>
      <c r="H15" s="26">
        <f>8.63</f>
        <v>8.6300000000000008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7">
        <f t="shared" si="0"/>
        <v>8.0629999999999988</v>
      </c>
      <c r="O15" s="28" t="s">
        <v>108</v>
      </c>
    </row>
    <row r="16" spans="1:15">
      <c r="A16" s="22">
        <v>14</v>
      </c>
      <c r="B16" s="23" t="s">
        <v>37</v>
      </c>
      <c r="C16" s="25">
        <v>17.5</v>
      </c>
      <c r="D16" s="26">
        <f>8.38+10</f>
        <v>18.380000000000003</v>
      </c>
      <c r="E16" s="26">
        <f>9.07+5.3+1.25</f>
        <v>15.620000000000001</v>
      </c>
      <c r="F16" s="26">
        <f>10.24</f>
        <v>10.24</v>
      </c>
      <c r="G16" s="26">
        <f>9.07+2.5+4.7</f>
        <v>16.27</v>
      </c>
      <c r="H16" s="26">
        <f>8.63+10</f>
        <v>18.630000000000003</v>
      </c>
      <c r="I16" s="26">
        <f>6.8</f>
        <v>6.8</v>
      </c>
      <c r="J16" s="26">
        <f>10.75</f>
        <v>10.75</v>
      </c>
      <c r="K16" s="26">
        <v>0</v>
      </c>
      <c r="L16" s="26">
        <f>16.13+20</f>
        <v>36.129999999999995</v>
      </c>
      <c r="M16" s="26">
        <f>9.07+5.3+1.5</f>
        <v>15.870000000000001</v>
      </c>
      <c r="N16" s="27">
        <f t="shared" si="0"/>
        <v>14.869</v>
      </c>
      <c r="O16" s="28" t="s">
        <v>109</v>
      </c>
    </row>
    <row r="17" spans="1:15">
      <c r="A17" s="22">
        <v>15</v>
      </c>
      <c r="B17" s="23" t="s">
        <v>38</v>
      </c>
      <c r="C17" s="25">
        <v>9.5</v>
      </c>
      <c r="D17" s="26">
        <f>3.6</f>
        <v>3.6</v>
      </c>
      <c r="E17" s="26">
        <v>0</v>
      </c>
      <c r="F17" s="26">
        <v>0</v>
      </c>
      <c r="G17" s="26">
        <f>7.1</f>
        <v>7.1</v>
      </c>
      <c r="H17" s="26">
        <v>0</v>
      </c>
      <c r="I17" s="26">
        <f>5.6+5.4</f>
        <v>11</v>
      </c>
      <c r="J17" s="26">
        <v>0</v>
      </c>
      <c r="K17" s="26">
        <f>8.38</f>
        <v>8.3800000000000008</v>
      </c>
      <c r="L17" s="26">
        <f>3.6</f>
        <v>3.6</v>
      </c>
      <c r="M17" s="26">
        <v>0</v>
      </c>
      <c r="N17" s="27">
        <f t="shared" si="0"/>
        <v>3.3679999999999999</v>
      </c>
      <c r="O17" s="28" t="s">
        <v>110</v>
      </c>
    </row>
    <row r="18" spans="1:15">
      <c r="A18" s="22">
        <v>16</v>
      </c>
      <c r="B18" s="23" t="s">
        <v>46</v>
      </c>
      <c r="C18" s="25">
        <v>12</v>
      </c>
      <c r="D18" s="26">
        <f>110</f>
        <v>110</v>
      </c>
      <c r="E18" s="26">
        <v>0</v>
      </c>
      <c r="F18" s="26">
        <v>0</v>
      </c>
      <c r="G18" s="26">
        <v>0</v>
      </c>
      <c r="H18" s="26">
        <f>7.25</f>
        <v>7.25</v>
      </c>
      <c r="I18" s="26">
        <v>0</v>
      </c>
      <c r="J18" s="26">
        <v>0</v>
      </c>
      <c r="K18" s="26">
        <v>0</v>
      </c>
      <c r="L18" s="26">
        <f>142</f>
        <v>142</v>
      </c>
      <c r="M18" s="26">
        <v>0</v>
      </c>
      <c r="N18" s="27">
        <f t="shared" si="0"/>
        <v>25.925000000000001</v>
      </c>
      <c r="O18" s="28" t="s">
        <v>111</v>
      </c>
    </row>
    <row r="19" spans="1:15">
      <c r="A19" s="22">
        <v>17</v>
      </c>
      <c r="B19" s="23" t="s">
        <v>39</v>
      </c>
      <c r="C19" s="25">
        <v>26</v>
      </c>
      <c r="D19" s="26">
        <f>7</f>
        <v>7</v>
      </c>
      <c r="E19" s="26">
        <v>7</v>
      </c>
      <c r="F19" s="26">
        <f>3.07+7</f>
        <v>10.07</v>
      </c>
      <c r="G19" s="26">
        <v>7</v>
      </c>
      <c r="H19" s="26">
        <f>16.13</f>
        <v>16.13</v>
      </c>
      <c r="I19" s="26">
        <f>7</f>
        <v>7</v>
      </c>
      <c r="J19" s="26">
        <f>3.23+7</f>
        <v>10.23</v>
      </c>
      <c r="K19" s="26">
        <f>1.2+7</f>
        <v>8.1999999999999993</v>
      </c>
      <c r="L19" s="26">
        <v>7</v>
      </c>
      <c r="M19" s="26">
        <f>7+1.25</f>
        <v>8.25</v>
      </c>
      <c r="N19" s="27">
        <f t="shared" si="0"/>
        <v>8.7880000000000003</v>
      </c>
      <c r="O19" s="28" t="s">
        <v>112</v>
      </c>
    </row>
    <row r="20" spans="1:15">
      <c r="A20" s="22">
        <v>18</v>
      </c>
      <c r="B20" s="23" t="s">
        <v>47</v>
      </c>
      <c r="C20" s="25">
        <v>0.8</v>
      </c>
      <c r="D20" s="26">
        <v>5</v>
      </c>
      <c r="E20" s="26">
        <v>1</v>
      </c>
      <c r="F20" s="26">
        <v>1</v>
      </c>
      <c r="G20" s="26">
        <v>1</v>
      </c>
      <c r="H20" s="26">
        <v>1</v>
      </c>
      <c r="I20" s="26">
        <v>1</v>
      </c>
      <c r="J20" s="26">
        <v>5</v>
      </c>
      <c r="K20" s="26">
        <v>1</v>
      </c>
      <c r="L20" s="26">
        <v>5</v>
      </c>
      <c r="M20" s="26">
        <v>1</v>
      </c>
      <c r="N20" s="27">
        <f t="shared" si="0"/>
        <v>2.2000000000000002</v>
      </c>
      <c r="O20" s="28" t="s">
        <v>90</v>
      </c>
    </row>
    <row r="21" spans="1:15">
      <c r="A21" s="22">
        <v>19</v>
      </c>
      <c r="B21" s="23" t="s">
        <v>40</v>
      </c>
      <c r="C21" s="25">
        <v>3</v>
      </c>
      <c r="D21" s="26">
        <f>0.63+0.2</f>
        <v>0.83000000000000007</v>
      </c>
      <c r="E21" s="26">
        <f>0.67+0.2</f>
        <v>0.87000000000000011</v>
      </c>
      <c r="F21" s="26">
        <f>1.02</f>
        <v>1.02</v>
      </c>
      <c r="G21" s="26">
        <f>0.67+0.3</f>
        <v>0.97</v>
      </c>
      <c r="H21" s="26">
        <v>0.63</v>
      </c>
      <c r="I21" s="26">
        <f>0.5+0.2+0.3</f>
        <v>1</v>
      </c>
      <c r="J21" s="26">
        <f>1.08</f>
        <v>1.08</v>
      </c>
      <c r="K21" s="26">
        <f>0.5</f>
        <v>0.5</v>
      </c>
      <c r="L21" s="26">
        <f>0.63</f>
        <v>0.63</v>
      </c>
      <c r="M21" s="26">
        <f>0.67+0.2</f>
        <v>0.87000000000000011</v>
      </c>
      <c r="N21" s="27">
        <f>SUM(D21:M21)/10</f>
        <v>0.84000000000000008</v>
      </c>
      <c r="O21" s="24">
        <v>-72</v>
      </c>
    </row>
  </sheetData>
  <mergeCells count="6">
    <mergeCell ref="O1:O2"/>
    <mergeCell ref="D1:M1"/>
    <mergeCell ref="A1:A2"/>
    <mergeCell ref="B1:B2"/>
    <mergeCell ref="C1:C2"/>
    <mergeCell ref="N1:N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Накопительная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2024-08-20T05:45:32Z</dcterms:modified>
</cp:coreProperties>
</file>